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defaultThemeVersion="124226"/>
  <mc:AlternateContent xmlns:mc="http://schemas.openxmlformats.org/markup-compatibility/2006">
    <mc:Choice Requires="x15">
      <x15ac:absPath xmlns:x15ac="http://schemas.microsoft.com/office/spreadsheetml/2010/11/ac" url="C:\Users\mcini01\Desktop\"/>
    </mc:Choice>
  </mc:AlternateContent>
  <xr:revisionPtr revIDLastSave="0" documentId="13_ncr:1_{38323B09-A8BA-44FD-98EA-DD964158A921}" xr6:coauthVersionLast="44" xr6:coauthVersionMax="45" xr10:uidLastSave="{00000000-0000-0000-0000-000000000000}"/>
  <bookViews>
    <workbookView xWindow="23880" yWindow="-120" windowWidth="29040" windowHeight="15840" activeTab="5" xr2:uid="{00000000-000D-0000-FFFF-FFFF00000000}"/>
  </bookViews>
  <sheets>
    <sheet name="Section A" sheetId="10" r:id="rId1"/>
    <sheet name="Section B" sheetId="1" r:id="rId2"/>
    <sheet name="Section C (public)" sheetId="3" r:id="rId3"/>
    <sheet name="Section C (private)" sheetId="6" r:id="rId4"/>
    <sheet name="Section D" sheetId="8" r:id="rId5"/>
    <sheet name="Checks" sheetId="11"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8" l="1"/>
  <c r="D7" i="8"/>
  <c r="E24" i="3"/>
  <c r="C19" i="6"/>
  <c r="D19" i="6"/>
  <c r="E19" i="6"/>
  <c r="B19" i="6"/>
  <c r="I18" i="6"/>
  <c r="J18" i="6"/>
  <c r="K18" i="6"/>
  <c r="H18" i="6"/>
  <c r="B9" i="6"/>
  <c r="H9" i="6"/>
  <c r="H7" i="6"/>
  <c r="H6" i="6" s="1"/>
  <c r="I6" i="6" s="1"/>
  <c r="B7" i="6"/>
  <c r="I9" i="6"/>
  <c r="I8" i="6" s="1"/>
  <c r="D12" i="6"/>
  <c r="E12" i="6" s="1"/>
  <c r="C11" i="6"/>
  <c r="B11" i="6"/>
  <c r="D11" i="6" s="1"/>
  <c r="E11" i="6" s="1"/>
  <c r="B8" i="6"/>
  <c r="C10" i="6"/>
  <c r="D10" i="6"/>
  <c r="E10" i="6" s="1"/>
  <c r="C38" i="1"/>
  <c r="D38" i="1"/>
  <c r="E38" i="1"/>
  <c r="B38" i="1"/>
  <c r="B6" i="6"/>
  <c r="I23" i="3"/>
  <c r="J23" i="3"/>
  <c r="K23" i="3"/>
  <c r="H23" i="3"/>
  <c r="C24" i="3"/>
  <c r="D24" i="3"/>
  <c r="B24" i="3"/>
  <c r="C9" i="3"/>
  <c r="D9" i="3"/>
  <c r="E9" i="3"/>
  <c r="B9" i="3"/>
  <c r="I18" i="3"/>
  <c r="J18" i="3" s="1"/>
  <c r="K18" i="3" s="1"/>
  <c r="I17" i="3"/>
  <c r="J17" i="3" s="1"/>
  <c r="K17" i="3" s="1"/>
  <c r="H16" i="3"/>
  <c r="I16" i="3" s="1"/>
  <c r="J16" i="3" s="1"/>
  <c r="H15" i="3"/>
  <c r="D18" i="3"/>
  <c r="E18" i="3" s="1"/>
  <c r="C17" i="3"/>
  <c r="D17" i="3" s="1"/>
  <c r="E17" i="3" s="1"/>
  <c r="C16" i="3"/>
  <c r="D16" i="3" s="1"/>
  <c r="E16" i="3" s="1"/>
  <c r="B15" i="3"/>
  <c r="E15" i="3" s="1"/>
  <c r="C13" i="3"/>
  <c r="B13" i="3"/>
  <c r="D14" i="3"/>
  <c r="E14" i="3" s="1"/>
  <c r="E13" i="3" s="1"/>
  <c r="H10" i="3"/>
  <c r="I10" i="3" s="1"/>
  <c r="J10" i="3" s="1"/>
  <c r="K10" i="3" s="1"/>
  <c r="B10" i="3"/>
  <c r="B11" i="3"/>
  <c r="C11" i="3"/>
  <c r="H11" i="3"/>
  <c r="I11" i="3" s="1"/>
  <c r="J11" i="3" s="1"/>
  <c r="K11" i="3" s="1"/>
  <c r="H12" i="3"/>
  <c r="I13" i="3"/>
  <c r="J13" i="3" s="1"/>
  <c r="K13" i="3" s="1"/>
  <c r="K12" i="3" s="1"/>
  <c r="D12" i="3"/>
  <c r="E12" i="3" s="1"/>
  <c r="E11" i="3" s="1"/>
  <c r="B8" i="11"/>
  <c r="B6" i="11"/>
  <c r="B5" i="11"/>
  <c r="B4" i="11"/>
  <c r="H8" i="3"/>
  <c r="H7" i="3"/>
  <c r="B8" i="3"/>
  <c r="B7" i="3"/>
  <c r="B7" i="11"/>
  <c r="B12" i="11"/>
  <c r="B3" i="11"/>
  <c r="B2" i="11"/>
  <c r="C47" i="1"/>
  <c r="D47" i="1"/>
  <c r="E47" i="1"/>
  <c r="B47" i="1"/>
  <c r="B4" i="10"/>
  <c r="C4" i="10"/>
  <c r="B41" i="1"/>
  <c r="D42" i="1"/>
  <c r="E42" i="1" s="1"/>
  <c r="D22" i="1"/>
  <c r="E22" i="1" s="1"/>
  <c r="E21" i="1" s="1"/>
  <c r="D21" i="1"/>
  <c r="C21" i="1"/>
  <c r="B21" i="1"/>
  <c r="B39" i="1"/>
  <c r="C39" i="1" s="1"/>
  <c r="D39" i="1" s="1"/>
  <c r="E39" i="1" s="1"/>
  <c r="B37" i="1"/>
  <c r="B30" i="1"/>
  <c r="B16" i="1"/>
  <c r="B17" i="1"/>
  <c r="C17" i="1" s="1"/>
  <c r="D17" i="1" s="1"/>
  <c r="E17" i="1" s="1"/>
  <c r="C28" i="1"/>
  <c r="D28" i="1" s="1"/>
  <c r="E28" i="1" s="1"/>
  <c r="C29" i="1"/>
  <c r="D29" i="1" s="1"/>
  <c r="E29" i="1" s="1"/>
  <c r="B27" i="1"/>
  <c r="D26" i="1"/>
  <c r="E26" i="1" s="1"/>
  <c r="C25" i="1"/>
  <c r="D25" i="1" s="1"/>
  <c r="E25" i="1" s="1"/>
  <c r="C24" i="1"/>
  <c r="D24" i="1" s="1"/>
  <c r="E24" i="1" s="1"/>
  <c r="B23" i="1"/>
  <c r="B18" i="1"/>
  <c r="D19" i="1"/>
  <c r="E19" i="1" s="1"/>
  <c r="C20" i="1"/>
  <c r="C18" i="1" s="1"/>
  <c r="B14" i="1"/>
  <c r="C14" i="1" s="1"/>
  <c r="D14" i="1" s="1"/>
  <c r="B13" i="1"/>
  <c r="B12" i="1" s="1"/>
  <c r="I7" i="6" l="1"/>
  <c r="J7" i="6" s="1"/>
  <c r="K7" i="6" s="1"/>
  <c r="H8" i="6"/>
  <c r="J6" i="6"/>
  <c r="K6" i="6" s="1"/>
  <c r="J9" i="6"/>
  <c r="C9" i="6"/>
  <c r="C8" i="6" s="1"/>
  <c r="C6" i="6"/>
  <c r="D6" i="6" s="1"/>
  <c r="E6" i="6" s="1"/>
  <c r="C7" i="6"/>
  <c r="D7" i="6" s="1"/>
  <c r="E7" i="6" s="1"/>
  <c r="K16" i="3"/>
  <c r="D15" i="3"/>
  <c r="D13" i="3"/>
  <c r="H9" i="3"/>
  <c r="D11" i="3"/>
  <c r="C10" i="3"/>
  <c r="D10" i="3" s="1"/>
  <c r="E10" i="3" s="1"/>
  <c r="K9" i="3"/>
  <c r="J9" i="3"/>
  <c r="H6" i="3"/>
  <c r="J12" i="3"/>
  <c r="I12" i="3"/>
  <c r="B6" i="3"/>
  <c r="I9" i="3"/>
  <c r="I7" i="3"/>
  <c r="I8" i="3"/>
  <c r="J8" i="3" s="1"/>
  <c r="K8" i="3" s="1"/>
  <c r="C7" i="3"/>
  <c r="C8" i="3"/>
  <c r="D8" i="3" s="1"/>
  <c r="E8" i="3" s="1"/>
  <c r="C13" i="1"/>
  <c r="D13" i="1" s="1"/>
  <c r="E13" i="1" s="1"/>
  <c r="B36" i="1"/>
  <c r="B15" i="1"/>
  <c r="C37" i="1"/>
  <c r="D37" i="1" s="1"/>
  <c r="E37" i="1" s="1"/>
  <c r="D20" i="1"/>
  <c r="E20" i="1" s="1"/>
  <c r="E18" i="1" s="1"/>
  <c r="C30" i="1"/>
  <c r="B32" i="1"/>
  <c r="C12" i="1"/>
  <c r="C16" i="1"/>
  <c r="D16" i="1" s="1"/>
  <c r="E16" i="1" s="1"/>
  <c r="E15" i="1" s="1"/>
  <c r="E14" i="1"/>
  <c r="E12" i="1" s="1"/>
  <c r="D12" i="1"/>
  <c r="K9" i="6" l="1"/>
  <c r="K8" i="6" s="1"/>
  <c r="J8" i="6"/>
  <c r="D9" i="6"/>
  <c r="J7" i="3"/>
  <c r="I6" i="3"/>
  <c r="C6" i="3"/>
  <c r="D7" i="3"/>
  <c r="D18" i="1"/>
  <c r="D30" i="1"/>
  <c r="E30" i="1"/>
  <c r="C15" i="1"/>
  <c r="D15" i="1"/>
  <c r="E9" i="6" l="1"/>
  <c r="E8" i="6" s="1"/>
  <c r="D8" i="6"/>
  <c r="K7" i="3"/>
  <c r="K6" i="3" s="1"/>
  <c r="J6" i="3"/>
  <c r="E7" i="3"/>
  <c r="E6" i="3" s="1"/>
  <c r="D6" i="3"/>
  <c r="E4" i="10"/>
  <c r="D4" i="10"/>
  <c r="E3" i="10"/>
  <c r="C43" i="1" l="1"/>
  <c r="C40" i="1"/>
  <c r="E40" i="1" l="1"/>
  <c r="D43" i="1"/>
  <c r="E43" i="1"/>
  <c r="D40" i="1"/>
  <c r="E23" i="1"/>
  <c r="D23" i="1"/>
  <c r="I16" i="6" l="1"/>
  <c r="C17" i="6"/>
  <c r="D17" i="6" s="1"/>
  <c r="E17" i="6" s="1"/>
  <c r="I15" i="6"/>
  <c r="C16" i="6"/>
  <c r="I14" i="6"/>
  <c r="C15" i="6"/>
  <c r="D15" i="6" s="1"/>
  <c r="E15" i="6" s="1"/>
  <c r="I13" i="6"/>
  <c r="J13" i="6" s="1"/>
  <c r="K13" i="6" s="1"/>
  <c r="C14" i="6"/>
  <c r="I12" i="6"/>
  <c r="C13" i="6"/>
  <c r="D13" i="6" s="1"/>
  <c r="E13" i="6" s="1"/>
  <c r="I11" i="6"/>
  <c r="J11" i="6" s="1"/>
  <c r="K11" i="6" s="1"/>
  <c r="I10" i="6"/>
  <c r="J10" i="6" s="1"/>
  <c r="K10" i="6" s="1"/>
  <c r="J15" i="6" l="1"/>
  <c r="K15" i="6" s="1"/>
  <c r="D14" i="6"/>
  <c r="E14" i="6" s="1"/>
  <c r="J14" i="6"/>
  <c r="K14" i="6" s="1"/>
  <c r="J12" i="6"/>
  <c r="K12" i="6" s="1"/>
  <c r="D16" i="6"/>
  <c r="E16" i="6" s="1"/>
  <c r="J16" i="6"/>
  <c r="K16" i="6" s="1"/>
  <c r="C27" i="1" l="1"/>
  <c r="C45" i="1"/>
  <c r="C44" i="1"/>
  <c r="C41" i="1"/>
  <c r="C36" i="1"/>
  <c r="D36" i="1" s="1"/>
  <c r="C32" i="1" l="1"/>
  <c r="E27" i="1"/>
  <c r="E32" i="1" s="1"/>
  <c r="D27" i="1"/>
  <c r="D32" i="1" s="1"/>
  <c r="D41" i="1"/>
  <c r="E36" i="1"/>
  <c r="D44" i="1"/>
  <c r="E44" i="1" s="1"/>
  <c r="D45" i="1"/>
  <c r="E45" i="1" s="1"/>
  <c r="E41" i="1" l="1"/>
  <c r="I21" i="3"/>
  <c r="K21" i="3" s="1"/>
  <c r="I20" i="3"/>
  <c r="K20" i="3" s="1"/>
  <c r="I19" i="3"/>
  <c r="K19" i="3" s="1"/>
  <c r="C22" i="3"/>
  <c r="D22" i="3" s="1"/>
  <c r="C21" i="3"/>
  <c r="E21" i="3" s="1"/>
  <c r="C20" i="3"/>
  <c r="E20" i="3" s="1"/>
  <c r="C19" i="3"/>
  <c r="E19" i="3" s="1"/>
  <c r="E22" i="3" l="1"/>
  <c r="D19" i="3"/>
  <c r="D21" i="3"/>
  <c r="D20" i="3"/>
  <c r="J19" i="3"/>
  <c r="J21" i="3"/>
  <c r="J2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Dimech</author>
  </authors>
  <commentList>
    <comment ref="B12" authorId="0" shapeId="0" xr:uid="{00000000-0006-0000-0200-000001000000}">
      <text>
        <r>
          <rPr>
            <sz val="9"/>
            <color indexed="81"/>
            <rFont val="Tahoma"/>
            <family val="2"/>
          </rPr>
          <t>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B15" authorId="0" shapeId="0" xr:uid="{44643E99-DC10-4482-AF8F-89374B76A286}">
      <text>
        <r>
          <rPr>
            <sz val="9"/>
            <color indexed="81"/>
            <rFont val="Tahoma"/>
            <family val="2"/>
          </rPr>
          <t>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B21" authorId="0" shapeId="0" xr:uid="{00000000-0006-0000-0200-000002000000}">
      <text>
        <r>
          <rPr>
            <sz val="9"/>
            <color indexed="81"/>
            <rFont val="Tahoma"/>
            <family val="2"/>
          </rPr>
          <t>The total subcontracting cost across the whole project and across all partners is limited to 25% of the project value.</t>
        </r>
      </text>
    </comment>
    <comment ref="C21" authorId="0" shapeId="0" xr:uid="{00000000-0006-0000-0200-000003000000}">
      <text>
        <r>
          <rPr>
            <sz val="9"/>
            <color indexed="81"/>
            <rFont val="Tahoma"/>
            <family val="2"/>
          </rPr>
          <t>Subcontracting has 0 indirect costs</t>
        </r>
      </text>
    </comment>
    <comment ref="B23" authorId="0" shapeId="0" xr:uid="{00000000-0006-0000-0200-000004000000}">
      <text>
        <r>
          <rPr>
            <sz val="9"/>
            <color indexed="81"/>
            <rFont val="Tahoma"/>
            <family val="2"/>
          </rPr>
          <t>The total consumables cost across the whole project and across all partners is limited to 30% of the project value.</t>
        </r>
      </text>
    </comment>
    <comment ref="C23" authorId="0" shapeId="0" xr:uid="{00000000-0006-0000-0200-000005000000}">
      <text>
        <r>
          <rPr>
            <sz val="9"/>
            <color indexed="81"/>
            <rFont val="Tahoma"/>
            <family val="2"/>
          </rPr>
          <t xml:space="preserve">The indirect costs for consumables are capped at </t>
        </r>
        <r>
          <rPr>
            <sz val="9"/>
            <color indexed="81"/>
            <rFont val="Calibri"/>
            <family val="2"/>
          </rPr>
          <t>€</t>
        </r>
        <r>
          <rPr>
            <sz val="9"/>
            <color indexed="81"/>
            <rFont val="Tahoma"/>
            <family val="2"/>
          </rPr>
          <t>500 per partner.</t>
        </r>
      </text>
    </comment>
    <comment ref="B27" authorId="0" shapeId="0" xr:uid="{00000000-0006-0000-0200-000006000000}">
      <text>
        <r>
          <rPr>
            <sz val="9"/>
            <color indexed="81"/>
            <rFont val="Tahoma"/>
            <family val="2"/>
          </rPr>
          <t xml:space="preserve">The total travel cost across the whole project and across all partners is limited to </t>
        </r>
        <r>
          <rPr>
            <sz val="9"/>
            <color indexed="81"/>
            <rFont val="Calibri"/>
            <family val="2"/>
          </rPr>
          <t>€</t>
        </r>
        <r>
          <rPr>
            <sz val="9"/>
            <color indexed="81"/>
            <rFont val="Tahoma"/>
            <family val="2"/>
          </rPr>
          <t>7000</t>
        </r>
      </text>
    </comment>
    <comment ref="B36" authorId="0" shapeId="0" xr:uid="{00000000-0006-0000-0200-000007000000}">
      <text>
        <r>
          <rPr>
            <b/>
            <sz val="9"/>
            <color indexed="81"/>
            <rFont val="Tahoma"/>
            <family val="2"/>
          </rPr>
          <t>Maria Dimech:</t>
        </r>
        <r>
          <rPr>
            <sz val="9"/>
            <color indexed="81"/>
            <rFont val="Tahoma"/>
            <family val="2"/>
          </rPr>
          <t xml:space="preserve">
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B41" authorId="0" shapeId="0" xr:uid="{00000000-0006-0000-0200-000008000000}">
      <text>
        <r>
          <rPr>
            <sz val="9"/>
            <color indexed="81"/>
            <rFont val="Tahoma"/>
            <family val="2"/>
          </rPr>
          <t>The total subcontracting cost across the whole project and across all partners is limited to 25% of the project value.</t>
        </r>
      </text>
    </comment>
    <comment ref="C41" authorId="0" shapeId="0" xr:uid="{00000000-0006-0000-0200-000009000000}">
      <text>
        <r>
          <rPr>
            <sz val="9"/>
            <color indexed="81"/>
            <rFont val="Tahoma"/>
            <family val="2"/>
          </rPr>
          <t>Subcontracting has 0 indirect costs</t>
        </r>
      </text>
    </comment>
    <comment ref="B43" authorId="0" shapeId="0" xr:uid="{00000000-0006-0000-0200-00000A000000}">
      <text>
        <r>
          <rPr>
            <sz val="9"/>
            <color indexed="81"/>
            <rFont val="Tahoma"/>
            <family val="2"/>
          </rPr>
          <t>The total consumables cost across the whole project and across all partners is limited to 30% of the project value.</t>
        </r>
      </text>
    </comment>
    <comment ref="C43" authorId="0" shapeId="0" xr:uid="{00000000-0006-0000-0200-00000B000000}">
      <text>
        <r>
          <rPr>
            <sz val="9"/>
            <color indexed="81"/>
            <rFont val="Tahoma"/>
            <family val="2"/>
          </rPr>
          <t xml:space="preserve">The indirect costs for consumables are capped at </t>
        </r>
        <r>
          <rPr>
            <sz val="9"/>
            <color indexed="81"/>
            <rFont val="Calibri"/>
            <family val="2"/>
          </rPr>
          <t>€</t>
        </r>
        <r>
          <rPr>
            <sz val="9"/>
            <color indexed="81"/>
            <rFont val="Tahoma"/>
            <family val="2"/>
          </rPr>
          <t>500 per partner.</t>
        </r>
      </text>
    </comment>
    <comment ref="B44" authorId="0" shapeId="0" xr:uid="{00000000-0006-0000-0200-00000C000000}">
      <text>
        <r>
          <rPr>
            <sz val="9"/>
            <color indexed="81"/>
            <rFont val="Tahoma"/>
            <family val="2"/>
          </rPr>
          <t xml:space="preserve">Limited to </t>
        </r>
        <r>
          <rPr>
            <sz val="9"/>
            <color indexed="81"/>
            <rFont val="Calibri"/>
            <family val="2"/>
          </rPr>
          <t>€</t>
        </r>
        <r>
          <rPr>
            <sz val="9"/>
            <color indexed="81"/>
            <rFont val="Tahoma"/>
            <family val="2"/>
          </rPr>
          <t>7000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Dimech</author>
  </authors>
  <commentList>
    <comment ref="B6" authorId="0" shapeId="0" xr:uid="{6BBE8D52-0E7F-4818-B7BF-E1845B300177}">
      <text>
        <r>
          <rPr>
            <sz val="9"/>
            <color indexed="81"/>
            <rFont val="Tahoma"/>
            <family val="2"/>
          </rPr>
          <t>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H6" authorId="0" shapeId="0" xr:uid="{271CC042-F63C-4A23-8DDC-F8DA2212E4A4}">
      <text>
        <r>
          <rPr>
            <sz val="9"/>
            <color indexed="81"/>
            <rFont val="Tahoma"/>
            <family val="2"/>
          </rPr>
          <t>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B9" authorId="0" shapeId="0" xr:uid="{014F93EB-B12D-47AB-BE74-A939FF17D4EC}">
      <text>
        <r>
          <rPr>
            <sz val="9"/>
            <color indexed="81"/>
            <rFont val="Tahoma"/>
            <family val="2"/>
          </rPr>
          <t>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H9" authorId="0" shapeId="0" xr:uid="{69D8CB7D-CAB5-42B6-B9DE-B1DA36CEE586}">
      <text>
        <r>
          <rPr>
            <sz val="9"/>
            <color indexed="81"/>
            <rFont val="Tahoma"/>
            <family val="2"/>
          </rPr>
          <t>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B15" authorId="0" shapeId="0" xr:uid="{48107B70-04AD-44AB-9806-9C7A3BA89C7C}">
      <text>
        <r>
          <rPr>
            <sz val="9"/>
            <color indexed="81"/>
            <rFont val="Tahoma"/>
            <family val="2"/>
          </rPr>
          <t>The total consumables cost across the whole project and across all partners is limited to 30% of the project value.</t>
        </r>
      </text>
    </comment>
    <comment ref="C15" authorId="0" shapeId="0" xr:uid="{2E1C6CB1-FB4E-4447-A484-176098A5ED47}">
      <text>
        <r>
          <rPr>
            <sz val="9"/>
            <color indexed="81"/>
            <rFont val="Tahoma"/>
            <family val="2"/>
          </rPr>
          <t xml:space="preserve">The indirect costs for consumables are capped at </t>
        </r>
        <r>
          <rPr>
            <sz val="9"/>
            <color indexed="81"/>
            <rFont val="Calibri"/>
            <family val="2"/>
          </rPr>
          <t>€</t>
        </r>
        <r>
          <rPr>
            <sz val="9"/>
            <color indexed="81"/>
            <rFont val="Tahoma"/>
            <family val="2"/>
          </rPr>
          <t>500 per partner.</t>
        </r>
      </text>
    </comment>
    <comment ref="H15" authorId="0" shapeId="0" xr:uid="{1259E4E7-F92B-477E-A1E0-90C1F81DD4F9}">
      <text>
        <r>
          <rPr>
            <sz val="9"/>
            <color indexed="81"/>
            <rFont val="Tahoma"/>
            <family val="2"/>
          </rPr>
          <t>The total consumables cost across the whole project and across all partners is limited to 30% of the project value.</t>
        </r>
      </text>
    </comment>
    <comment ref="I15" authorId="0" shapeId="0" xr:uid="{239B58DB-EC5A-457E-A0E2-FC77EE4C9299}">
      <text>
        <r>
          <rPr>
            <sz val="9"/>
            <color indexed="81"/>
            <rFont val="Tahoma"/>
            <family val="2"/>
          </rPr>
          <t xml:space="preserve">The indirect costs for consumables are capped at </t>
        </r>
        <r>
          <rPr>
            <sz val="9"/>
            <color indexed="81"/>
            <rFont val="Calibri"/>
            <family val="2"/>
          </rPr>
          <t>€</t>
        </r>
        <r>
          <rPr>
            <sz val="9"/>
            <color indexed="81"/>
            <rFont val="Tahoma"/>
            <family val="2"/>
          </rPr>
          <t>500 per partner.</t>
        </r>
      </text>
    </comment>
    <comment ref="H16" authorId="0" shapeId="0" xr:uid="{EAE0C8D5-6170-49A3-B5BA-79C266267B49}">
      <text>
        <r>
          <rPr>
            <b/>
            <sz val="9"/>
            <color indexed="81"/>
            <rFont val="Tahoma"/>
            <family val="2"/>
          </rPr>
          <t>Maria Dimech:</t>
        </r>
        <r>
          <rPr>
            <sz val="9"/>
            <color indexed="81"/>
            <rFont val="Tahoma"/>
            <family val="2"/>
          </rPr>
          <t xml:space="preserve">
The total travel cost across the whole project and across all partners is limited to </t>
        </r>
        <r>
          <rPr>
            <sz val="9"/>
            <color indexed="81"/>
            <rFont val="Calibri"/>
            <family val="2"/>
          </rPr>
          <t>€</t>
        </r>
        <r>
          <rPr>
            <sz val="9"/>
            <color indexed="81"/>
            <rFont val="Tahoma"/>
            <family val="2"/>
          </rPr>
          <t>7000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Maria Dimech</author>
  </authors>
  <commentList>
    <comment ref="B6" authorId="0" shapeId="0" xr:uid="{0E9C365E-1162-45CC-A7DD-10D048CAFF9E}">
      <text>
        <r>
          <rPr>
            <sz val="9"/>
            <color indexed="81"/>
            <rFont val="Tahoma"/>
            <family val="2"/>
          </rPr>
          <t>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H6" authorId="0" shapeId="0" xr:uid="{0F5F084E-5420-4FF5-BAA2-7347D8454771}">
      <text>
        <r>
          <rPr>
            <sz val="9"/>
            <color indexed="81"/>
            <rFont val="Tahoma"/>
            <family val="2"/>
          </rPr>
          <t>The total personnel cost across the whole project and across all partners is limited to 20% of project value.
This excludes full time researchers and students
Management are further limited to 10% of the project value and form part of the 20% mentioned above.</t>
        </r>
      </text>
    </comment>
    <comment ref="B11" authorId="0" shapeId="0" xr:uid="{D27417B5-42DD-49B9-8F07-68F9A042CD92}">
      <text>
        <r>
          <rPr>
            <sz val="9"/>
            <color indexed="81"/>
            <rFont val="Tahoma"/>
            <family val="2"/>
          </rPr>
          <t>The total subcontracting cost across the whole project and across all partners is limited to 25% of the project value.</t>
        </r>
      </text>
    </comment>
    <comment ref="C11" authorId="0" shapeId="0" xr:uid="{46213827-3304-4B2D-8CCF-E75A1A30CC83}">
      <text>
        <r>
          <rPr>
            <sz val="9"/>
            <color indexed="81"/>
            <rFont val="Tahoma"/>
            <family val="2"/>
          </rPr>
          <t>Subcontracting has 0 indirect costs</t>
        </r>
      </text>
    </comment>
    <comment ref="I12" authorId="0" shapeId="0" xr:uid="{00000000-0006-0000-0100-000002000000}">
      <text>
        <r>
          <rPr>
            <sz val="9"/>
            <color indexed="81"/>
            <rFont val="Tahoma"/>
            <family val="2"/>
          </rPr>
          <t>The total consumables indirect costs is capped at €500</t>
        </r>
      </text>
    </comment>
    <comment ref="C13" authorId="0" shapeId="0" xr:uid="{00000000-0006-0000-0100-000001000000}">
      <text>
        <r>
          <rPr>
            <sz val="9"/>
            <color indexed="81"/>
            <rFont val="Tahoma"/>
            <family val="2"/>
          </rPr>
          <t>The indirect costs for consumables are capped at €500 per partner.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Maria Dimech</author>
  </authors>
  <commentList>
    <comment ref="D7" authorId="0" shapeId="0" xr:uid="{00000000-0006-0000-0300-000001000000}">
      <text>
        <r>
          <rPr>
            <sz val="9"/>
            <color indexed="81"/>
            <rFont val="Tahoma"/>
            <family val="2"/>
          </rPr>
          <t>This is 20% of the total requested funding. This is deducted from the funds allocated for the last stage and from the preceeding stage, if necessary.</t>
        </r>
      </text>
    </comment>
  </commentList>
</comments>
</file>

<file path=xl/sharedStrings.xml><?xml version="1.0" encoding="utf-8"?>
<sst xmlns="http://schemas.openxmlformats.org/spreadsheetml/2006/main" count="206" uniqueCount="106">
  <si>
    <r>
      <t xml:space="preserve">Eligible Direct Cost </t>
    </r>
    <r>
      <rPr>
        <b/>
        <sz val="12"/>
        <color theme="1"/>
        <rFont val="Calibri"/>
        <family val="2"/>
      </rPr>
      <t>€</t>
    </r>
  </si>
  <si>
    <t>Eligible Indirect Cost €</t>
  </si>
  <si>
    <t>Total Eligible Cost €</t>
  </si>
  <si>
    <t>Total</t>
  </si>
  <si>
    <t>7.     Budget</t>
  </si>
  <si>
    <t>Stage</t>
  </si>
  <si>
    <t>Start Month</t>
  </si>
  <si>
    <t>End Month</t>
  </si>
  <si>
    <r>
      <t xml:space="preserve">Requested Funding </t>
    </r>
    <r>
      <rPr>
        <b/>
        <sz val="12"/>
        <color theme="1"/>
        <rFont val="Calibri"/>
        <family val="2"/>
      </rPr>
      <t>€</t>
    </r>
  </si>
  <si>
    <t>Stage1</t>
  </si>
  <si>
    <t>Requested Funding - If Public Entity  €</t>
  </si>
  <si>
    <t>Requested Funding-       If Private Entity €</t>
  </si>
  <si>
    <t>a.     Budget per Organization per stage</t>
  </si>
  <si>
    <t>b.     Budget Summary by Organisation</t>
  </si>
  <si>
    <t>Partner One Stage One</t>
  </si>
  <si>
    <t>Partner One Stage Two</t>
  </si>
  <si>
    <r>
      <t xml:space="preserve">Subcontracting
</t>
    </r>
    <r>
      <rPr>
        <sz val="12"/>
        <color theme="1"/>
        <rFont val="Calibri"/>
        <family val="2"/>
        <scheme val="minor"/>
      </rPr>
      <t>&lt;Insert Details Here&gt;</t>
    </r>
  </si>
  <si>
    <r>
      <t xml:space="preserve">Other
</t>
    </r>
    <r>
      <rPr>
        <sz val="12"/>
        <color theme="1"/>
        <rFont val="Calibri"/>
        <family val="2"/>
        <scheme val="minor"/>
      </rPr>
      <t>&lt;Insert Details Here&gt;</t>
    </r>
  </si>
  <si>
    <t>Give an estimate of the project budget in Euros (€), broken down per participant per stage.</t>
  </si>
  <si>
    <t>3. Audit fees must form part of the indirect costs and therefore should not be input as a separate budget line.</t>
  </si>
  <si>
    <t>4. The reserved €5,000 for dissemination costs should not be listed in the tables below. If there are to be dissemination costs that are not covered by this reserved amount, then such costs are to be listed under ‘Other’.</t>
  </si>
  <si>
    <t xml:space="preserve">5. Total eligible cost is the sum of eligible direct and indirect costs
          </t>
  </si>
  <si>
    <t xml:space="preserve">6. Requested Funding is calculated as a percentage of the total eligible cost:
o Public Entities at 100%
o Private Bodies at 75%
</t>
  </si>
  <si>
    <t>Month 1</t>
  </si>
  <si>
    <t>2. Eligible indirect costs are calculated at 10% of the direct costs, excluding the costs of (1) subcontracting, (2) items of equipment above €5000 and (3) consumables above €5000. Note that for equipment, the capping of  €500 is per piece while for consumables, the capping of €500 is for the total amount  of consumables PER partner.</t>
  </si>
  <si>
    <r>
      <t xml:space="preserve">Personnel
(give details of position,duration,rate)
e.g. research assistant x  </t>
    </r>
    <r>
      <rPr>
        <i/>
        <sz val="11"/>
        <color theme="1"/>
        <rFont val="Calibri"/>
        <family val="2"/>
        <scheme val="minor"/>
      </rPr>
      <t>n</t>
    </r>
    <r>
      <rPr>
        <sz val="11"/>
        <color theme="1"/>
        <rFont val="Calibri"/>
        <family val="2"/>
        <scheme val="minor"/>
      </rPr>
      <t xml:space="preserve"> hours x € </t>
    </r>
    <r>
      <rPr>
        <i/>
        <sz val="11"/>
        <color theme="1"/>
        <rFont val="Calibri"/>
        <family val="2"/>
        <scheme val="minor"/>
      </rPr>
      <t>x</t>
    </r>
    <r>
      <rPr>
        <sz val="11"/>
        <color theme="1"/>
        <rFont val="Calibri"/>
        <family val="2"/>
        <scheme val="minor"/>
      </rPr>
      <t>/hr
&lt;Insert Details Here&gt;</t>
    </r>
  </si>
  <si>
    <t>Retention (20%)</t>
  </si>
  <si>
    <t>5.3 Summary of Stage Budget</t>
  </si>
  <si>
    <t>Requested Funding €</t>
  </si>
  <si>
    <r>
      <t>1. Eligible direct costs: 
o Personnel
Give details of position, rate, duration, in the format of:</t>
    </r>
    <r>
      <rPr>
        <b/>
        <sz val="10"/>
        <color theme="1"/>
        <rFont val="Calibri"/>
        <family val="2"/>
        <scheme val="minor"/>
      </rPr>
      <t xml:space="preserve"> e.g. research assistant  x €20.00/hour x 100 hours</t>
    </r>
    <r>
      <rPr>
        <sz val="10"/>
        <color theme="1"/>
        <rFont val="Calibri"/>
        <family val="2"/>
        <scheme val="minor"/>
      </rPr>
      <t xml:space="preserve">
Hourly rates should include National Insurance and Inland Revenue and allowances
o Equipment
o Subcontracting
o Travel 
o Other
</t>
    </r>
  </si>
  <si>
    <t>Role in Project</t>
  </si>
  <si>
    <t xml:space="preserve">Top Management or equivalent </t>
  </si>
  <si>
    <t>Max 2 per project</t>
  </si>
  <si>
    <t>Middle Management, or equivalent</t>
  </si>
  <si>
    <t>Senior Researcher[1] or equivalent</t>
  </si>
  <si>
    <t>Researcher[2] or equivalent</t>
  </si>
  <si>
    <t>No Limits</t>
  </si>
  <si>
    <t>Limits per project (persons)</t>
  </si>
  <si>
    <t>min</t>
  </si>
  <si>
    <t>Hourly rates (€/hr) 2020</t>
  </si>
  <si>
    <t>Hourly rates (€/hr) 2021</t>
  </si>
  <si>
    <t>Hourly rates (€/hr) 2022</t>
  </si>
  <si>
    <t>Hourly rates (€/hr) 2023</t>
  </si>
  <si>
    <t>max</t>
  </si>
  <si>
    <t>NA</t>
  </si>
  <si>
    <t>Operational, technician, research support assistant  or equivalent</t>
  </si>
  <si>
    <t>Eligible Direct Costs €</t>
  </si>
  <si>
    <t>Eligible Indirect Costs €</t>
  </si>
  <si>
    <t>Total Eligible Costs €</t>
  </si>
  <si>
    <t>Lead Partner (Public)</t>
  </si>
  <si>
    <t>Partner 2 (Private)</t>
  </si>
  <si>
    <t>Top Management (Jane Smith) 2hrs * 104 weeks *€39.51/hr</t>
  </si>
  <si>
    <t>Senior Researcher (John Doe) 10hrs * 104 weeks * €22.82/hr</t>
  </si>
  <si>
    <t>Researcher 40hrs*78 weeks * €17.00/hr</t>
  </si>
  <si>
    <t>Researcher 20hrs*52 weeks * €13.00/hr</t>
  </si>
  <si>
    <t>Existing Personnel</t>
  </si>
  <si>
    <t>Specialised Equipment 1</t>
  </si>
  <si>
    <t>Specialised Equipment 2</t>
  </si>
  <si>
    <t>Subcontracting</t>
  </si>
  <si>
    <t>Consumables</t>
  </si>
  <si>
    <t>Specialised Consumables 1</t>
  </si>
  <si>
    <t>Specialised Consumables 2</t>
  </si>
  <si>
    <t>Specialised Consumables 3</t>
  </si>
  <si>
    <t>Travel</t>
  </si>
  <si>
    <t>Conference 1</t>
  </si>
  <si>
    <t>Conference 2</t>
  </si>
  <si>
    <t>Existing Personnel (Total)</t>
  </si>
  <si>
    <t>New Personnel (Total)</t>
  </si>
  <si>
    <t>Equipment  (Total)</t>
  </si>
  <si>
    <t>Subcontracting (Total)</t>
  </si>
  <si>
    <t>Consumables (Total)</t>
  </si>
  <si>
    <t>Travel (Total)</t>
  </si>
  <si>
    <t>Other (total)</t>
  </si>
  <si>
    <t>Top Management (Mark Murdoch) 2hrs * 104 weeks * €33.00/hr</t>
  </si>
  <si>
    <r>
      <rPr>
        <b/>
        <sz val="14"/>
        <color theme="1"/>
        <rFont val="Calibri"/>
        <family val="2"/>
        <scheme val="minor"/>
      </rPr>
      <t>Lead Partner (Public Entity)</t>
    </r>
    <r>
      <rPr>
        <sz val="11"/>
        <color theme="1"/>
        <rFont val="Calibri"/>
        <family val="2"/>
        <scheme val="minor"/>
      </rPr>
      <t xml:space="preserve">
</t>
    </r>
  </si>
  <si>
    <t>New Personnel (total)</t>
  </si>
  <si>
    <t>Researcher 40hr * 78 weeks * €13.50/hr</t>
  </si>
  <si>
    <t>Service Provision for Development 1</t>
  </si>
  <si>
    <t>Service Provision for Development 2</t>
  </si>
  <si>
    <t>Project amount</t>
  </si>
  <si>
    <t>Limit</t>
  </si>
  <si>
    <t>Number of Top Managers</t>
  </si>
  <si>
    <t>Number of Middle managers</t>
  </si>
  <si>
    <t>Number of Senior Researchers</t>
  </si>
  <si>
    <t>Item</t>
  </si>
  <si>
    <t>no</t>
  </si>
  <si>
    <t>rates as stipulated in the adjacent table</t>
  </si>
  <si>
    <t>yes</t>
  </si>
  <si>
    <t>Top Management (Jane Smith) 2hrs * 52 weeks *€39.51/hr</t>
  </si>
  <si>
    <t>Senior Researcher (John Doe) 10hrs * 52 weeks * €22.82/hr</t>
  </si>
  <si>
    <t>Management Personnel</t>
  </si>
  <si>
    <t>Grant Value</t>
  </si>
  <si>
    <t>Project Value</t>
  </si>
  <si>
    <t>Maximum Grant Value for a Single Entity</t>
  </si>
  <si>
    <t>Existing Personnel Over 10hr per week</t>
  </si>
  <si>
    <r>
      <rPr>
        <b/>
        <sz val="11"/>
        <color theme="1"/>
        <rFont val="Calibri"/>
        <family val="2"/>
        <scheme val="minor"/>
      </rPr>
      <t>Equipment (Total)</t>
    </r>
    <r>
      <rPr>
        <sz val="11"/>
        <color theme="1"/>
        <rFont val="Calibri"/>
        <family val="2"/>
        <scheme val="minor"/>
      </rPr>
      <t xml:space="preserve">
</t>
    </r>
  </si>
  <si>
    <t>Researcher 40hrs*26 weeks * €17.00/hr</t>
  </si>
  <si>
    <t>Researcher 40hrs*52 weeks * €17.00/hr</t>
  </si>
  <si>
    <t>Top Management (Mark Murdoch) 2hrs * 52 weeks * €33.00/hr</t>
  </si>
  <si>
    <t>Researcher 40hr * 26 weeks * €13.50/hr</t>
  </si>
  <si>
    <t>Researcher 40hr * 52 weeks * €13.50/hr</t>
  </si>
  <si>
    <t>Stage2 (less the retention)</t>
  </si>
  <si>
    <t>Month 12</t>
  </si>
  <si>
    <t>Month 13</t>
  </si>
  <si>
    <t>Month 24</t>
  </si>
  <si>
    <t>Partner 2 (Private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</si>
</sst>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164" formatCode="&quot;£&quot;#,##0.00"/>
    <numFmt numFmtId="165" formatCode="[$€-43A]#,##0.00"/>
    <numFmt numFmtId="166" formatCode="[$€-43A]#,##0.00;[Red]\-[$€-43A]#,##0.00"/>
    <numFmt numFmtId="167" formatCode="_-[$€-2]\ * #,##0.00_-;\-[$€-2]\ * #,##0.00_-;_-[$€-2]\ * &quot;-&quot;??_-;_-@_-"/>
    <numFmt numFmtId="168" formatCode="[$€-2]\ #,##0;[Red]\-[$€-2]\ #,##0"/>
    <numFmt numFmtId="169" formatCode="[$€-43A]#,##0"/>
  </numFmts>
  <fonts count="20" x14ac:knownFonts="1">
    <font>
      <sz val="11"/>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b/>
      <sz val="14"/>
      <color theme="1"/>
      <name val="Calibri"/>
      <family val="2"/>
      <scheme val="minor"/>
    </font>
    <font>
      <i/>
      <sz val="11"/>
      <color theme="1"/>
      <name val="Calibri"/>
      <family val="2"/>
      <scheme val="minor"/>
    </font>
    <font>
      <b/>
      <sz val="12"/>
      <color theme="1"/>
      <name val="Times New Roman"/>
      <family val="1"/>
    </font>
    <font>
      <sz val="9"/>
      <color indexed="81"/>
      <name val="Tahoma"/>
      <family val="2"/>
    </font>
    <font>
      <b/>
      <sz val="9"/>
      <color indexed="81"/>
      <name val="Tahoma"/>
      <family val="2"/>
    </font>
    <font>
      <sz val="9"/>
      <color indexed="81"/>
      <name val="Calibri"/>
      <family val="2"/>
    </font>
    <font>
      <sz val="10"/>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
      <sz val="8"/>
      <name val="Calibri"/>
      <family val="2"/>
      <scheme val="minor"/>
    </font>
    <font>
      <sz val="11"/>
      <color theme="1"/>
      <name val="Times New Roman"/>
      <family val="1"/>
    </font>
    <font>
      <sz val="12"/>
      <color theme="1"/>
      <name val="Times New Roman"/>
      <family val="1"/>
    </font>
    <font>
      <b/>
      <sz val="11"/>
      <color theme="1"/>
      <name val="Times New Roman"/>
      <family val="1"/>
    </font>
    <font>
      <b/>
      <sz val="11"/>
      <color rgb="FF000000"/>
      <name val="Times New Roman"/>
      <family val="1"/>
    </font>
    <font>
      <b/>
      <i/>
      <sz val="11"/>
      <color rgb="FF000000"/>
      <name val="Times New Roman"/>
      <family val="1"/>
    </font>
  </fonts>
  <fills count="9">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rgb="FF00CCFF"/>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3" fillId="0" borderId="0" applyFont="0" applyFill="0" applyBorder="0" applyAlignment="0" applyProtection="0"/>
  </cellStyleXfs>
  <cellXfs count="110">
    <xf numFmtId="0" fontId="0" fillId="0" borderId="0" xfId="0"/>
    <xf numFmtId="0" fontId="1" fillId="0" borderId="0" xfId="0" applyFont="1"/>
    <xf numFmtId="0" fontId="2" fillId="0" borderId="0" xfId="0" applyFont="1"/>
    <xf numFmtId="0" fontId="0" fillId="2" borderId="0" xfId="0" applyFill="1"/>
    <xf numFmtId="0" fontId="4" fillId="2" borderId="0" xfId="0" applyFont="1" applyFill="1"/>
    <xf numFmtId="0" fontId="0" fillId="0" borderId="0" xfId="0" applyAlignment="1">
      <alignment horizontal="center"/>
    </xf>
    <xf numFmtId="0" fontId="1" fillId="0" borderId="0" xfId="0" applyFont="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1" xfId="0" applyBorder="1"/>
    <xf numFmtId="0" fontId="0" fillId="0" borderId="2" xfId="0" applyBorder="1" applyAlignment="1">
      <alignment horizontal="center"/>
    </xf>
    <xf numFmtId="165" fontId="0" fillId="0" borderId="3" xfId="0" applyNumberFormat="1" applyBorder="1" applyAlignment="1">
      <alignment horizontal="center"/>
    </xf>
    <xf numFmtId="0" fontId="0" fillId="2" borderId="1" xfId="0" applyFill="1" applyBorder="1"/>
    <xf numFmtId="0" fontId="0" fillId="2" borderId="2" xfId="0" applyFill="1" applyBorder="1" applyAlignment="1">
      <alignment horizontal="center"/>
    </xf>
    <xf numFmtId="165" fontId="0" fillId="2" borderId="3" xfId="0" applyNumberFormat="1" applyFill="1" applyBorder="1" applyAlignment="1">
      <alignment horizontal="center"/>
    </xf>
    <xf numFmtId="164" fontId="2" fillId="2" borderId="2" xfId="0" applyNumberFormat="1" applyFont="1" applyFill="1" applyBorder="1" applyAlignment="1">
      <alignment horizontal="center" vertical="distributed"/>
    </xf>
    <xf numFmtId="0" fontId="2" fillId="2" borderId="2" xfId="0" applyFont="1" applyFill="1" applyBorder="1" applyAlignment="1">
      <alignment horizontal="center" vertical="distributed"/>
    </xf>
    <xf numFmtId="0" fontId="2" fillId="2" borderId="3" xfId="0" applyFont="1" applyFill="1" applyBorder="1" applyAlignment="1">
      <alignment horizontal="center" vertical="distributed"/>
    </xf>
    <xf numFmtId="164" fontId="0" fillId="0" borderId="1" xfId="0" applyNumberFormat="1" applyFont="1" applyBorder="1" applyAlignment="1">
      <alignment horizontal="left" vertical="justify" wrapText="1"/>
    </xf>
    <xf numFmtId="165" fontId="0" fillId="0" borderId="2" xfId="0" applyNumberFormat="1" applyBorder="1"/>
    <xf numFmtId="166" fontId="0" fillId="0" borderId="3" xfId="0" applyNumberFormat="1" applyBorder="1"/>
    <xf numFmtId="164" fontId="2" fillId="0" borderId="1" xfId="0" applyNumberFormat="1" applyFont="1" applyBorder="1" applyAlignment="1">
      <alignment vertical="justify" wrapText="1"/>
    </xf>
    <xf numFmtId="0" fontId="0" fillId="0" borderId="2" xfId="0" applyBorder="1"/>
    <xf numFmtId="0" fontId="0" fillId="0" borderId="3" xfId="0" applyBorder="1"/>
    <xf numFmtId="164" fontId="2" fillId="2" borderId="1" xfId="0" applyNumberFormat="1" applyFont="1" applyFill="1" applyBorder="1" applyAlignment="1">
      <alignment vertical="justify"/>
    </xf>
    <xf numFmtId="165" fontId="0" fillId="2" borderId="2" xfId="0" applyNumberFormat="1" applyFill="1" applyBorder="1"/>
    <xf numFmtId="0" fontId="6" fillId="2" borderId="1" xfId="0" applyFont="1" applyFill="1" applyBorder="1" applyAlignment="1">
      <alignment vertical="top"/>
    </xf>
    <xf numFmtId="165" fontId="0" fillId="3" borderId="2" xfId="0" applyNumberFormat="1" applyFill="1" applyBorder="1"/>
    <xf numFmtId="166" fontId="0" fillId="3" borderId="3" xfId="0" applyNumberFormat="1" applyFill="1" applyBorder="1"/>
    <xf numFmtId="165" fontId="0" fillId="4" borderId="2" xfId="0" applyNumberFormat="1" applyFill="1" applyBorder="1"/>
    <xf numFmtId="166" fontId="0" fillId="4" borderId="3" xfId="0" applyNumberFormat="1" applyFill="1" applyBorder="1"/>
    <xf numFmtId="0" fontId="10" fillId="0" borderId="0" xfId="0" applyFont="1"/>
    <xf numFmtId="0" fontId="10" fillId="0" borderId="0" xfId="0" applyFont="1" applyAlignment="1">
      <alignment vertical="center"/>
    </xf>
    <xf numFmtId="165" fontId="0" fillId="5" borderId="2" xfId="0" applyNumberFormat="1" applyFill="1" applyBorder="1"/>
    <xf numFmtId="166" fontId="0" fillId="5" borderId="3" xfId="0" applyNumberFormat="1" applyFill="1" applyBorder="1"/>
    <xf numFmtId="164" fontId="2" fillId="6" borderId="1" xfId="0" applyNumberFormat="1" applyFont="1" applyFill="1" applyBorder="1" applyAlignment="1">
      <alignment vertical="justify" wrapText="1"/>
    </xf>
    <xf numFmtId="165" fontId="0" fillId="6" borderId="2" xfId="0" applyNumberFormat="1" applyFill="1" applyBorder="1"/>
    <xf numFmtId="166" fontId="0" fillId="6" borderId="3" xfId="0" applyNumberFormat="1" applyFill="1" applyBorder="1"/>
    <xf numFmtId="0" fontId="0" fillId="0" borderId="2" xfId="0" applyBorder="1" applyAlignment="1" applyProtection="1">
      <alignment horizontal="center"/>
      <protection locked="0"/>
    </xf>
    <xf numFmtId="0" fontId="17" fillId="8" borderId="5" xfId="0" applyFont="1" applyFill="1" applyBorder="1" applyAlignment="1">
      <alignment vertical="center" wrapText="1"/>
    </xf>
    <xf numFmtId="0" fontId="18" fillId="8" borderId="5" xfId="0" applyFont="1" applyFill="1" applyBorder="1" applyAlignment="1">
      <alignment horizontal="center" vertical="center" wrapText="1"/>
    </xf>
    <xf numFmtId="0" fontId="15" fillId="0" borderId="5" xfId="0" applyFont="1" applyBorder="1" applyAlignment="1">
      <alignment vertical="center" wrapText="1"/>
    </xf>
    <xf numFmtId="0" fontId="19" fillId="8" borderId="5" xfId="0" applyFont="1" applyFill="1" applyBorder="1" applyAlignment="1">
      <alignment vertical="center" wrapText="1"/>
    </xf>
    <xf numFmtId="167" fontId="0" fillId="0" borderId="2" xfId="0" applyNumberFormat="1" applyBorder="1"/>
    <xf numFmtId="167" fontId="0" fillId="3" borderId="2" xfId="0" applyNumberFormat="1" applyFill="1" applyBorder="1"/>
    <xf numFmtId="167" fontId="0" fillId="6" borderId="2" xfId="0" applyNumberFormat="1" applyFill="1" applyBorder="1"/>
    <xf numFmtId="167" fontId="0" fillId="4" borderId="2" xfId="0" applyNumberFormat="1" applyFill="1" applyBorder="1"/>
    <xf numFmtId="167" fontId="0" fillId="5" borderId="2" xfId="0" applyNumberFormat="1" applyFill="1" applyBorder="1"/>
    <xf numFmtId="167" fontId="0" fillId="2" borderId="2" xfId="0" applyNumberFormat="1" applyFill="1" applyBorder="1"/>
    <xf numFmtId="0" fontId="0" fillId="2" borderId="5" xfId="0" applyFill="1" applyBorder="1" applyAlignment="1">
      <alignment horizontal="center" wrapText="1"/>
    </xf>
    <xf numFmtId="164" fontId="2" fillId="2" borderId="5" xfId="0" applyNumberFormat="1" applyFont="1" applyFill="1" applyBorder="1" applyAlignment="1">
      <alignment horizontal="center" vertical="distributed"/>
    </xf>
    <xf numFmtId="0" fontId="2" fillId="2" borderId="5" xfId="0" applyFont="1" applyFill="1" applyBorder="1" applyAlignment="1">
      <alignment horizontal="center" vertical="distributed"/>
    </xf>
    <xf numFmtId="164" fontId="11" fillId="7" borderId="5" xfId="0" applyNumberFormat="1" applyFont="1" applyFill="1" applyBorder="1" applyAlignment="1">
      <alignment horizontal="left" vertical="justify" wrapText="1"/>
    </xf>
    <xf numFmtId="167" fontId="0" fillId="0" borderId="5" xfId="0" applyNumberFormat="1" applyBorder="1"/>
    <xf numFmtId="164" fontId="0" fillId="7" borderId="5" xfId="0" applyNumberFormat="1" applyFont="1" applyFill="1" applyBorder="1" applyAlignment="1">
      <alignment horizontal="left" vertical="justify" wrapText="1"/>
    </xf>
    <xf numFmtId="164" fontId="11" fillId="3" borderId="5" xfId="0" applyNumberFormat="1" applyFont="1" applyFill="1" applyBorder="1" applyAlignment="1">
      <alignment vertical="justify" wrapText="1"/>
    </xf>
    <xf numFmtId="167" fontId="0" fillId="3" borderId="5" xfId="0" applyNumberFormat="1" applyFill="1" applyBorder="1"/>
    <xf numFmtId="164" fontId="0" fillId="3" borderId="5" xfId="0" applyNumberFormat="1" applyFont="1" applyFill="1" applyBorder="1" applyAlignment="1">
      <alignment vertical="justify" wrapText="1"/>
    </xf>
    <xf numFmtId="164" fontId="11" fillId="6" borderId="5" xfId="0" applyNumberFormat="1" applyFont="1" applyFill="1" applyBorder="1" applyAlignment="1">
      <alignment vertical="justify" wrapText="1"/>
    </xf>
    <xf numFmtId="167" fontId="0" fillId="6" borderId="5" xfId="0" applyNumberFormat="1" applyFill="1" applyBorder="1"/>
    <xf numFmtId="164" fontId="11" fillId="4" borderId="5" xfId="0" applyNumberFormat="1" applyFont="1" applyFill="1" applyBorder="1" applyAlignment="1">
      <alignment vertical="justify" wrapText="1"/>
    </xf>
    <xf numFmtId="167" fontId="0" fillId="4" borderId="5" xfId="0" applyNumberFormat="1" applyFill="1" applyBorder="1"/>
    <xf numFmtId="164" fontId="0" fillId="4" borderId="5" xfId="0" applyNumberFormat="1" applyFont="1" applyFill="1" applyBorder="1" applyAlignment="1">
      <alignment vertical="justify" wrapText="1"/>
    </xf>
    <xf numFmtId="164" fontId="11" fillId="5" borderId="5" xfId="0" applyNumberFormat="1" applyFont="1" applyFill="1" applyBorder="1" applyAlignment="1">
      <alignment vertical="justify" wrapText="1"/>
    </xf>
    <xf numFmtId="167" fontId="0" fillId="5" borderId="5" xfId="0" applyNumberFormat="1" applyFill="1" applyBorder="1"/>
    <xf numFmtId="164" fontId="11" fillId="0" borderId="5" xfId="0" applyNumberFormat="1" applyFont="1" applyBorder="1" applyAlignment="1">
      <alignment vertical="justify" wrapText="1"/>
    </xf>
    <xf numFmtId="0" fontId="0" fillId="0" borderId="5" xfId="0" applyBorder="1"/>
    <xf numFmtId="164" fontId="2" fillId="2" borderId="5" xfId="0" applyNumberFormat="1" applyFont="1" applyFill="1" applyBorder="1" applyAlignment="1">
      <alignment vertical="justify"/>
    </xf>
    <xf numFmtId="167" fontId="0" fillId="2" borderId="5" xfId="0" applyNumberFormat="1" applyFill="1" applyBorder="1"/>
    <xf numFmtId="167" fontId="0" fillId="0" borderId="3" xfId="0" applyNumberFormat="1" applyBorder="1"/>
    <xf numFmtId="167" fontId="0" fillId="3" borderId="3" xfId="0" applyNumberFormat="1" applyFill="1" applyBorder="1"/>
    <xf numFmtId="167" fontId="0" fillId="6" borderId="3" xfId="0" applyNumberFormat="1" applyFill="1" applyBorder="1"/>
    <xf numFmtId="167" fontId="0" fillId="4" borderId="3" xfId="0" applyNumberFormat="1" applyFill="1" applyBorder="1"/>
    <xf numFmtId="167" fontId="0" fillId="5" borderId="3" xfId="0" applyNumberFormat="1" applyFill="1" applyBorder="1"/>
    <xf numFmtId="167" fontId="0" fillId="2" borderId="3" xfId="0" applyNumberFormat="1" applyFill="1" applyBorder="1"/>
    <xf numFmtId="164" fontId="11" fillId="0" borderId="1" xfId="0" applyNumberFormat="1" applyFont="1" applyBorder="1" applyAlignment="1">
      <alignment horizontal="left" vertical="justify" wrapText="1"/>
    </xf>
    <xf numFmtId="164" fontId="0" fillId="6" borderId="5" xfId="0" applyNumberFormat="1" applyFont="1" applyFill="1" applyBorder="1" applyAlignment="1">
      <alignment vertical="justify" wrapText="1"/>
    </xf>
    <xf numFmtId="0" fontId="1" fillId="0" borderId="0" xfId="0" applyFont="1" applyFill="1"/>
    <xf numFmtId="0" fontId="0" fillId="0" borderId="0" xfId="0" applyFill="1"/>
    <xf numFmtId="0" fontId="0" fillId="0" borderId="0" xfId="0" applyFill="1" applyAlignment="1">
      <alignment vertical="center"/>
    </xf>
    <xf numFmtId="167" fontId="15" fillId="0" borderId="5" xfId="0" applyNumberFormat="1" applyFont="1" applyBorder="1" applyAlignment="1">
      <alignment horizontal="right" vertical="center" wrapText="1"/>
    </xf>
    <xf numFmtId="167" fontId="18" fillId="8" borderId="5" xfId="0" applyNumberFormat="1" applyFont="1" applyFill="1" applyBorder="1" applyAlignment="1">
      <alignment horizontal="right" vertical="center" wrapText="1"/>
    </xf>
    <xf numFmtId="0" fontId="0" fillId="0" borderId="0" xfId="0"/>
    <xf numFmtId="0" fontId="6" fillId="0" borderId="5" xfId="0" applyFont="1" applyBorder="1" applyAlignment="1">
      <alignment horizontal="center" vertical="center" wrapText="1"/>
    </xf>
    <xf numFmtId="0" fontId="16" fillId="0" borderId="5" xfId="0" applyFont="1" applyBorder="1" applyAlignment="1">
      <alignment horizontal="center" vertical="center" wrapText="1"/>
    </xf>
    <xf numFmtId="167" fontId="16" fillId="0" borderId="5" xfId="0" applyNumberFormat="1" applyFont="1" applyBorder="1" applyAlignment="1">
      <alignment horizontal="center" vertical="center" wrapText="1"/>
    </xf>
    <xf numFmtId="167" fontId="15" fillId="0" borderId="5" xfId="0" applyNumberFormat="1" applyFont="1" applyBorder="1" applyAlignment="1">
      <alignment horizontal="center" vertical="center"/>
    </xf>
    <xf numFmtId="0" fontId="0" fillId="0" borderId="5" xfId="0" applyBorder="1" applyAlignment="1">
      <alignment horizontal="center" vertical="center"/>
    </xf>
    <xf numFmtId="10" fontId="0" fillId="0" borderId="5" xfId="0" applyNumberFormat="1" applyBorder="1" applyAlignment="1">
      <alignment horizontal="center" vertical="center"/>
    </xf>
    <xf numFmtId="9" fontId="0" fillId="0" borderId="5" xfId="0" applyNumberFormat="1" applyBorder="1" applyAlignment="1">
      <alignment horizontal="center" vertical="center"/>
    </xf>
    <xf numFmtId="168" fontId="0" fillId="0" borderId="5" xfId="0" applyNumberFormat="1" applyBorder="1" applyAlignment="1">
      <alignment horizontal="center" vertical="center"/>
    </xf>
    <xf numFmtId="1" fontId="0" fillId="0" borderId="5" xfId="0" applyNumberFormat="1" applyBorder="1" applyAlignment="1">
      <alignment horizontal="center" vertical="center"/>
    </xf>
    <xf numFmtId="0" fontId="11" fillId="0" borderId="5" xfId="0" applyFont="1" applyBorder="1" applyAlignment="1">
      <alignment horizontal="center" vertical="center"/>
    </xf>
    <xf numFmtId="0" fontId="6" fillId="0" borderId="5" xfId="0" applyFont="1" applyBorder="1" applyAlignment="1">
      <alignment horizontal="left" vertical="center" wrapText="1"/>
    </xf>
    <xf numFmtId="0" fontId="17" fillId="0" borderId="5" xfId="0" applyFont="1" applyFill="1" applyBorder="1"/>
    <xf numFmtId="167" fontId="0" fillId="0" borderId="5" xfId="1" applyNumberFormat="1" applyFont="1" applyBorder="1" applyAlignment="1">
      <alignment horizontal="center" vertical="center"/>
    </xf>
    <xf numFmtId="167" fontId="0" fillId="0" borderId="5" xfId="0" applyNumberFormat="1" applyBorder="1" applyAlignment="1">
      <alignment horizontal="center" vertical="center"/>
    </xf>
    <xf numFmtId="164" fontId="0" fillId="3" borderId="5" xfId="0" applyNumberFormat="1" applyFont="1" applyFill="1" applyBorder="1" applyAlignment="1">
      <alignment horizontal="left" vertical="justify" wrapText="1"/>
    </xf>
    <xf numFmtId="169" fontId="0" fillId="0" borderId="3" xfId="0" applyNumberFormat="1" applyBorder="1" applyAlignment="1">
      <alignment horizontal="center"/>
    </xf>
    <xf numFmtId="0" fontId="4" fillId="2" borderId="1" xfId="0" applyFont="1" applyFill="1" applyBorder="1" applyAlignment="1">
      <alignment horizont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wrapText="1"/>
    </xf>
    <xf numFmtId="0" fontId="2" fillId="0" borderId="0" xfId="0" applyFont="1" applyAlignment="1">
      <alignment horizontal="left"/>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C4D79B"/>
      <color rgb="FF6B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71878-16F8-4923-9066-94AFF61B8ADC}">
  <dimension ref="A1:E4"/>
  <sheetViews>
    <sheetView zoomScaleNormal="100" workbookViewId="0">
      <selection activeCell="E3" sqref="E3"/>
    </sheetView>
  </sheetViews>
  <sheetFormatPr defaultRowHeight="15" x14ac:dyDescent="0.25"/>
  <cols>
    <col min="1" max="1" width="19.42578125" customWidth="1"/>
    <col min="2" max="5" width="14.85546875" bestFit="1" customWidth="1"/>
  </cols>
  <sheetData>
    <row r="1" spans="1:5" ht="42.75" x14ac:dyDescent="0.25">
      <c r="A1" s="40"/>
      <c r="B1" s="41" t="s">
        <v>46</v>
      </c>
      <c r="C1" s="41" t="s">
        <v>47</v>
      </c>
      <c r="D1" s="41" t="s">
        <v>48</v>
      </c>
      <c r="E1" s="41" t="s">
        <v>28</v>
      </c>
    </row>
    <row r="2" spans="1:5" ht="30" x14ac:dyDescent="0.25">
      <c r="A2" s="42" t="s">
        <v>49</v>
      </c>
      <c r="B2" s="81">
        <v>133784.54999999999</v>
      </c>
      <c r="C2" s="81">
        <v>12465.451999999999</v>
      </c>
      <c r="D2" s="81">
        <v>146250</v>
      </c>
      <c r="E2" s="81">
        <v>146250</v>
      </c>
    </row>
    <row r="3" spans="1:5" ht="29.25" customHeight="1" x14ac:dyDescent="0.25">
      <c r="A3" s="42" t="s">
        <v>50</v>
      </c>
      <c r="B3" s="81">
        <v>60101.599999999999</v>
      </c>
      <c r="C3" s="81">
        <v>4898.3999999999996</v>
      </c>
      <c r="D3" s="81">
        <v>65000</v>
      </c>
      <c r="E3" s="81">
        <f>D3*0.75</f>
        <v>48750</v>
      </c>
    </row>
    <row r="4" spans="1:5" x14ac:dyDescent="0.25">
      <c r="A4" s="43" t="s">
        <v>3</v>
      </c>
      <c r="B4" s="82">
        <f t="shared" ref="B4:C4" si="0">SUM(B2:B3)</f>
        <v>193886.15</v>
      </c>
      <c r="C4" s="82">
        <f t="shared" si="0"/>
        <v>17363.851999999999</v>
      </c>
      <c r="D4" s="82">
        <f>SUM(D2:D3)</f>
        <v>211250</v>
      </c>
      <c r="E4" s="82">
        <f>SUM(E2:E3)</f>
        <v>195000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7"/>
  <sheetViews>
    <sheetView topLeftCell="A6" zoomScale="85" zoomScaleNormal="85" workbookViewId="0">
      <selection activeCell="D15" sqref="D15"/>
    </sheetView>
  </sheetViews>
  <sheetFormatPr defaultRowHeight="15" x14ac:dyDescent="0.25"/>
  <cols>
    <col min="1" max="1" width="45.5703125" bestFit="1" customWidth="1"/>
    <col min="2" max="2" width="16" customWidth="1"/>
    <col min="3" max="3" width="16.140625" customWidth="1"/>
    <col min="4" max="4" width="17.42578125" customWidth="1"/>
    <col min="5" max="5" width="20.42578125" customWidth="1"/>
    <col min="6" max="16384" width="9.140625" style="79"/>
  </cols>
  <sheetData>
    <row r="1" spans="1:5" s="78" customFormat="1" ht="15.75" x14ac:dyDescent="0.25">
      <c r="A1" s="2" t="s">
        <v>13</v>
      </c>
      <c r="B1" s="1"/>
      <c r="C1" s="1"/>
      <c r="D1" s="1"/>
      <c r="E1" s="1"/>
    </row>
    <row r="3" spans="1:5" ht="27" customHeight="1" x14ac:dyDescent="0.25">
      <c r="A3" s="101" t="s">
        <v>18</v>
      </c>
      <c r="B3" s="101"/>
      <c r="C3" s="101"/>
      <c r="D3" s="32"/>
      <c r="E3" s="32"/>
    </row>
    <row r="4" spans="1:5" ht="109.5" customHeight="1" x14ac:dyDescent="0.25">
      <c r="A4" s="104" t="s">
        <v>29</v>
      </c>
      <c r="B4" s="104"/>
      <c r="C4" s="104"/>
      <c r="D4" s="104"/>
      <c r="E4" s="32"/>
    </row>
    <row r="5" spans="1:5" ht="41.25" customHeight="1" x14ac:dyDescent="0.25">
      <c r="A5" s="105" t="s">
        <v>24</v>
      </c>
      <c r="B5" s="105"/>
      <c r="C5" s="105"/>
      <c r="D5" s="105"/>
      <c r="E5" s="105"/>
    </row>
    <row r="6" spans="1:5" ht="39.75" customHeight="1" x14ac:dyDescent="0.25">
      <c r="A6" s="102" t="s">
        <v>19</v>
      </c>
      <c r="B6" s="102"/>
      <c r="C6" s="102"/>
      <c r="D6" s="102"/>
      <c r="E6" s="102"/>
    </row>
    <row r="7" spans="1:5" ht="38.25" customHeight="1" x14ac:dyDescent="0.25">
      <c r="A7" s="105" t="s">
        <v>20</v>
      </c>
      <c r="B7" s="105"/>
      <c r="C7" s="105"/>
      <c r="D7" s="105"/>
      <c r="E7" s="105"/>
    </row>
    <row r="8" spans="1:5" s="80" customFormat="1" ht="33.75" customHeight="1" x14ac:dyDescent="0.25">
      <c r="A8" s="102" t="s">
        <v>21</v>
      </c>
      <c r="B8" s="102"/>
      <c r="C8" s="102"/>
      <c r="D8" s="102"/>
      <c r="E8" s="33"/>
    </row>
    <row r="9" spans="1:5" s="80" customFormat="1" ht="21.75" customHeight="1" x14ac:dyDescent="0.25">
      <c r="A9" s="102" t="s">
        <v>22</v>
      </c>
      <c r="B9" s="102"/>
      <c r="C9" s="102"/>
      <c r="D9" s="102"/>
      <c r="E9" s="102"/>
    </row>
    <row r="10" spans="1:5" s="80" customFormat="1" ht="31.5" customHeight="1" x14ac:dyDescent="0.25">
      <c r="A10" s="103"/>
      <c r="B10" s="103"/>
      <c r="C10" s="103"/>
      <c r="D10" s="103"/>
      <c r="E10" s="103"/>
    </row>
    <row r="11" spans="1:5" ht="40.5" customHeight="1" x14ac:dyDescent="0.3">
      <c r="A11" s="50" t="s">
        <v>74</v>
      </c>
      <c r="B11" s="51" t="s">
        <v>0</v>
      </c>
      <c r="C11" s="52" t="s">
        <v>1</v>
      </c>
      <c r="D11" s="52" t="s">
        <v>2</v>
      </c>
      <c r="E11" s="52" t="s">
        <v>10</v>
      </c>
    </row>
    <row r="12" spans="1:5" x14ac:dyDescent="0.25">
      <c r="A12" s="53" t="s">
        <v>66</v>
      </c>
      <c r="B12" s="54">
        <f>SUM(B13:B14)</f>
        <v>31950.879999999997</v>
      </c>
      <c r="C12" s="54">
        <f t="shared" ref="C12:E12" si="0">SUM(C13:C14)</f>
        <v>3195.0880000000002</v>
      </c>
      <c r="D12" s="54">
        <f t="shared" si="0"/>
        <v>35145.967999999993</v>
      </c>
      <c r="E12" s="54">
        <f t="shared" si="0"/>
        <v>35145.967999999993</v>
      </c>
    </row>
    <row r="13" spans="1:5" ht="30" x14ac:dyDescent="0.25">
      <c r="A13" s="55" t="s">
        <v>51</v>
      </c>
      <c r="B13" s="54">
        <f>2*104*39.51</f>
        <v>8218.08</v>
      </c>
      <c r="C13" s="54">
        <f>B13*0.1</f>
        <v>821.80799999999999</v>
      </c>
      <c r="D13" s="54">
        <f>B13+C13</f>
        <v>9039.887999999999</v>
      </c>
      <c r="E13" s="54">
        <f>D13</f>
        <v>9039.887999999999</v>
      </c>
    </row>
    <row r="14" spans="1:5" ht="30" x14ac:dyDescent="0.25">
      <c r="A14" s="55" t="s">
        <v>52</v>
      </c>
      <c r="B14" s="54">
        <f>10*104*22.82</f>
        <v>23732.799999999999</v>
      </c>
      <c r="C14" s="54">
        <f>B14*0.1</f>
        <v>2373.2800000000002</v>
      </c>
      <c r="D14" s="54">
        <f>B14+C14</f>
        <v>26106.079999999998</v>
      </c>
      <c r="E14" s="54">
        <f>D14</f>
        <v>26106.079999999998</v>
      </c>
    </row>
    <row r="15" spans="1:5" x14ac:dyDescent="0.25">
      <c r="A15" s="53" t="s">
        <v>67</v>
      </c>
      <c r="B15" s="54">
        <f>SUM(B16:B17)</f>
        <v>73840</v>
      </c>
      <c r="C15" s="54">
        <f t="shared" ref="C15:E15" si="1">SUM(C16:C17)</f>
        <v>7384</v>
      </c>
      <c r="D15" s="54">
        <f t="shared" si="1"/>
        <v>81224</v>
      </c>
      <c r="E15" s="54">
        <f t="shared" si="1"/>
        <v>81224</v>
      </c>
    </row>
    <row r="16" spans="1:5" x14ac:dyDescent="0.25">
      <c r="A16" s="55" t="s">
        <v>53</v>
      </c>
      <c r="B16" s="54">
        <f>40*78*19</f>
        <v>59280</v>
      </c>
      <c r="C16" s="54">
        <f t="shared" ref="C16:C20" si="2">B16*0.1</f>
        <v>5928</v>
      </c>
      <c r="D16" s="54">
        <f t="shared" ref="D16" si="3">B16+C16</f>
        <v>65208</v>
      </c>
      <c r="E16" s="54">
        <f t="shared" ref="E16:E17" si="4">D16</f>
        <v>65208</v>
      </c>
    </row>
    <row r="17" spans="1:5" ht="33" customHeight="1" x14ac:dyDescent="0.25">
      <c r="A17" s="55" t="s">
        <v>54</v>
      </c>
      <c r="B17" s="54">
        <f>20*52*14</f>
        <v>14560</v>
      </c>
      <c r="C17" s="54">
        <f t="shared" si="2"/>
        <v>1456</v>
      </c>
      <c r="D17" s="54">
        <f t="shared" ref="D17" si="5">B17+C17</f>
        <v>16016</v>
      </c>
      <c r="E17" s="54">
        <f t="shared" si="4"/>
        <v>16016</v>
      </c>
    </row>
    <row r="18" spans="1:5" x14ac:dyDescent="0.25">
      <c r="A18" s="56" t="s">
        <v>68</v>
      </c>
      <c r="B18" s="57">
        <f>SUM(B19:B20)</f>
        <v>9500</v>
      </c>
      <c r="C18" s="57">
        <f t="shared" ref="C18:E18" si="6">SUM(C19:C20)</f>
        <v>750</v>
      </c>
      <c r="D18" s="57">
        <f t="shared" si="6"/>
        <v>10250</v>
      </c>
      <c r="E18" s="57">
        <f t="shared" si="6"/>
        <v>10250</v>
      </c>
    </row>
    <row r="19" spans="1:5" x14ac:dyDescent="0.25">
      <c r="A19" s="58" t="s">
        <v>56</v>
      </c>
      <c r="B19" s="57">
        <v>7000</v>
      </c>
      <c r="C19" s="57">
        <v>500</v>
      </c>
      <c r="D19" s="57">
        <f>SUM(B19:C19)</f>
        <v>7500</v>
      </c>
      <c r="E19" s="57">
        <f>D19</f>
        <v>7500</v>
      </c>
    </row>
    <row r="20" spans="1:5" x14ac:dyDescent="0.25">
      <c r="A20" s="58" t="s">
        <v>57</v>
      </c>
      <c r="B20" s="57">
        <v>2500</v>
      </c>
      <c r="C20" s="57">
        <f t="shared" si="2"/>
        <v>250</v>
      </c>
      <c r="D20" s="57">
        <f>SUM(B20:C20)</f>
        <v>2750</v>
      </c>
      <c r="E20" s="57">
        <f>D20</f>
        <v>2750</v>
      </c>
    </row>
    <row r="21" spans="1:5" x14ac:dyDescent="0.25">
      <c r="A21" s="59" t="s">
        <v>69</v>
      </c>
      <c r="B21" s="60">
        <f>B22</f>
        <v>4630.03</v>
      </c>
      <c r="C21" s="60">
        <f t="shared" ref="C21:E21" si="7">C22</f>
        <v>0</v>
      </c>
      <c r="D21" s="60">
        <f>D22</f>
        <v>4630.03</v>
      </c>
      <c r="E21" s="60">
        <f t="shared" si="7"/>
        <v>4630.03</v>
      </c>
    </row>
    <row r="22" spans="1:5" x14ac:dyDescent="0.25">
      <c r="A22" s="77" t="s">
        <v>77</v>
      </c>
      <c r="B22" s="60">
        <v>4630.03</v>
      </c>
      <c r="C22" s="60">
        <v>0</v>
      </c>
      <c r="D22" s="60">
        <f>B22</f>
        <v>4630.03</v>
      </c>
      <c r="E22" s="60">
        <f>D22</f>
        <v>4630.03</v>
      </c>
    </row>
    <row r="23" spans="1:5" x14ac:dyDescent="0.25">
      <c r="A23" s="61" t="s">
        <v>70</v>
      </c>
      <c r="B23" s="62">
        <f>SUM(B24:B26)</f>
        <v>7500</v>
      </c>
      <c r="C23" s="62">
        <v>500</v>
      </c>
      <c r="D23" s="62">
        <f>SUM(B23:C23)</f>
        <v>8000</v>
      </c>
      <c r="E23" s="62">
        <f>SUM(B23:C23)</f>
        <v>8000</v>
      </c>
    </row>
    <row r="24" spans="1:5" x14ac:dyDescent="0.25">
      <c r="A24" s="63" t="s">
        <v>60</v>
      </c>
      <c r="B24" s="62">
        <v>3000</v>
      </c>
      <c r="C24" s="62">
        <f>B24*0.1</f>
        <v>300</v>
      </c>
      <c r="D24" s="62">
        <f>SUM(B24:C24)</f>
        <v>3300</v>
      </c>
      <c r="E24" s="62">
        <f>D24</f>
        <v>3300</v>
      </c>
    </row>
    <row r="25" spans="1:5" x14ac:dyDescent="0.25">
      <c r="A25" s="63" t="s">
        <v>61</v>
      </c>
      <c r="B25" s="62">
        <v>2000</v>
      </c>
      <c r="C25" s="62">
        <f t="shared" ref="C25" si="8">B25*0.1</f>
        <v>200</v>
      </c>
      <c r="D25" s="62">
        <f t="shared" ref="D25:D26" si="9">SUM(B25:C25)</f>
        <v>2200</v>
      </c>
      <c r="E25" s="62">
        <f t="shared" ref="E25:E26" si="10">D25</f>
        <v>2200</v>
      </c>
    </row>
    <row r="26" spans="1:5" x14ac:dyDescent="0.25">
      <c r="A26" s="63" t="s">
        <v>62</v>
      </c>
      <c r="B26" s="62">
        <v>2500</v>
      </c>
      <c r="C26" s="62">
        <v>0</v>
      </c>
      <c r="D26" s="62">
        <f t="shared" si="9"/>
        <v>2500</v>
      </c>
      <c r="E26" s="62">
        <f t="shared" si="10"/>
        <v>2500</v>
      </c>
    </row>
    <row r="27" spans="1:5" x14ac:dyDescent="0.25">
      <c r="A27" s="64" t="s">
        <v>71</v>
      </c>
      <c r="B27" s="65">
        <f>SUM(B28:B29)</f>
        <v>6363.6399999999994</v>
      </c>
      <c r="C27" s="65">
        <f>B27*0.1</f>
        <v>636.36400000000003</v>
      </c>
      <c r="D27" s="65">
        <f t="shared" ref="D27:D29" si="11">SUM(B27:C27)</f>
        <v>7000.003999999999</v>
      </c>
      <c r="E27" s="65">
        <f t="shared" ref="E27" si="12">SUM(B27:C27)</f>
        <v>7000.003999999999</v>
      </c>
    </row>
    <row r="28" spans="1:5" x14ac:dyDescent="0.25">
      <c r="A28" s="64" t="s">
        <v>64</v>
      </c>
      <c r="B28" s="65">
        <v>4000</v>
      </c>
      <c r="C28" s="65">
        <f t="shared" ref="C28:C29" si="13">B28*0.1</f>
        <v>400</v>
      </c>
      <c r="D28" s="65">
        <f t="shared" si="11"/>
        <v>4400</v>
      </c>
      <c r="E28" s="65">
        <f>D28</f>
        <v>4400</v>
      </c>
    </row>
    <row r="29" spans="1:5" x14ac:dyDescent="0.25">
      <c r="A29" s="64" t="s">
        <v>65</v>
      </c>
      <c r="B29" s="65">
        <v>2363.64</v>
      </c>
      <c r="C29" s="65">
        <f t="shared" si="13"/>
        <v>236.364</v>
      </c>
      <c r="D29" s="65">
        <f t="shared" si="11"/>
        <v>2600.0039999999999</v>
      </c>
      <c r="E29" s="65">
        <f>D29</f>
        <v>2600.0039999999999</v>
      </c>
    </row>
    <row r="30" spans="1:5" x14ac:dyDescent="0.25">
      <c r="A30" s="66" t="s">
        <v>72</v>
      </c>
      <c r="B30" s="54">
        <f>SUM(B31:B31)</f>
        <v>0</v>
      </c>
      <c r="C30" s="54">
        <f>B30*0.1</f>
        <v>0</v>
      </c>
      <c r="D30" s="54">
        <f t="shared" ref="D30" si="14">SUM(B30:C30)</f>
        <v>0</v>
      </c>
      <c r="E30" s="54">
        <f t="shared" ref="E30" si="15">SUM(B30:C30)</f>
        <v>0</v>
      </c>
    </row>
    <row r="31" spans="1:5" x14ac:dyDescent="0.25">
      <c r="A31" s="67"/>
      <c r="B31" s="54"/>
      <c r="C31" s="54"/>
      <c r="D31" s="54"/>
      <c r="E31" s="54"/>
    </row>
    <row r="32" spans="1:5" ht="15.75" x14ac:dyDescent="0.25">
      <c r="A32" s="68" t="s">
        <v>3</v>
      </c>
      <c r="B32" s="69">
        <f>B30+B27+B23+B21+B18+B15+B12</f>
        <v>133784.54999999999</v>
      </c>
      <c r="C32" s="69">
        <f>C30+C27+C23+C21+C18+C15+C12</f>
        <v>12465.451999999999</v>
      </c>
      <c r="D32" s="69">
        <f>D30+D27+D23+D21+D18+D15+D12</f>
        <v>146250.00199999998</v>
      </c>
      <c r="E32" s="69">
        <f>E30+E27+E23+E21+E18+E15+E12</f>
        <v>146250.00199999998</v>
      </c>
    </row>
    <row r="35" spans="1:5" ht="31.5" x14ac:dyDescent="0.3">
      <c r="A35" s="100" t="s">
        <v>105</v>
      </c>
      <c r="B35" s="16" t="s">
        <v>0</v>
      </c>
      <c r="C35" s="17" t="s">
        <v>1</v>
      </c>
      <c r="D35" s="17" t="s">
        <v>2</v>
      </c>
      <c r="E35" s="18" t="s">
        <v>11</v>
      </c>
    </row>
    <row r="36" spans="1:5" x14ac:dyDescent="0.25">
      <c r="A36" s="53" t="s">
        <v>66</v>
      </c>
      <c r="B36" s="44">
        <f>B37</f>
        <v>6864</v>
      </c>
      <c r="C36" s="44">
        <f>B36*0.1</f>
        <v>686.40000000000009</v>
      </c>
      <c r="D36" s="44">
        <f>SUM(B36:C36)</f>
        <v>7550.4</v>
      </c>
      <c r="E36" s="70">
        <f>(D36*0.75)</f>
        <v>5662.7999999999993</v>
      </c>
    </row>
    <row r="37" spans="1:5" ht="30" x14ac:dyDescent="0.25">
      <c r="A37" s="19" t="s">
        <v>73</v>
      </c>
      <c r="B37" s="44">
        <f>2*104*33</f>
        <v>6864</v>
      </c>
      <c r="C37" s="44">
        <f>B37*0.1</f>
        <v>686.40000000000009</v>
      </c>
      <c r="D37" s="44">
        <f>SUM(B37:C37)</f>
        <v>7550.4</v>
      </c>
      <c r="E37" s="70">
        <f>D37*0.75</f>
        <v>5662.7999999999993</v>
      </c>
    </row>
    <row r="38" spans="1:5" x14ac:dyDescent="0.25">
      <c r="A38" s="76" t="s">
        <v>75</v>
      </c>
      <c r="B38" s="44">
        <f>B39</f>
        <v>42120</v>
      </c>
      <c r="C38" s="44">
        <f t="shared" ref="C38:E38" si="16">C39</f>
        <v>4212</v>
      </c>
      <c r="D38" s="44">
        <f t="shared" si="16"/>
        <v>46332</v>
      </c>
      <c r="E38" s="44">
        <f t="shared" si="16"/>
        <v>34749</v>
      </c>
    </row>
    <row r="39" spans="1:5" x14ac:dyDescent="0.25">
      <c r="A39" s="19" t="s">
        <v>76</v>
      </c>
      <c r="B39" s="44">
        <f>40*78*13.5</f>
        <v>42120</v>
      </c>
      <c r="C39" s="44">
        <f t="shared" ref="C39" si="17">B39*0.1</f>
        <v>4212</v>
      </c>
      <c r="D39" s="44">
        <f t="shared" ref="D39" si="18">SUM(B39:C39)</f>
        <v>46332</v>
      </c>
      <c r="E39" s="70">
        <f t="shared" ref="E39" si="19">D39*0.75</f>
        <v>34749</v>
      </c>
    </row>
    <row r="40" spans="1:5" x14ac:dyDescent="0.25">
      <c r="A40" s="56" t="s">
        <v>68</v>
      </c>
      <c r="B40" s="45">
        <v>0</v>
      </c>
      <c r="C40" s="45">
        <f>B40*0.1</f>
        <v>0</v>
      </c>
      <c r="D40" s="45">
        <f>SUM(B40:C40)</f>
        <v>0</v>
      </c>
      <c r="E40" s="71">
        <f>SUM(B40:C40)*0.75</f>
        <v>0</v>
      </c>
    </row>
    <row r="41" spans="1:5" x14ac:dyDescent="0.25">
      <c r="A41" s="59" t="s">
        <v>69</v>
      </c>
      <c r="B41" s="46">
        <f>B42</f>
        <v>11117.6</v>
      </c>
      <c r="C41" s="46">
        <f>0</f>
        <v>0</v>
      </c>
      <c r="D41" s="46">
        <f>SUM(B41:C41)</f>
        <v>11117.6</v>
      </c>
      <c r="E41" s="72">
        <f t="shared" ref="E41" si="20">(D41*0.75)</f>
        <v>8338.2000000000007</v>
      </c>
    </row>
    <row r="42" spans="1:5" x14ac:dyDescent="0.25">
      <c r="A42" s="77" t="s">
        <v>78</v>
      </c>
      <c r="B42" s="46">
        <v>11117.6</v>
      </c>
      <c r="C42" s="46">
        <v>0</v>
      </c>
      <c r="D42" s="46">
        <f>B42</f>
        <v>11117.6</v>
      </c>
      <c r="E42" s="72">
        <f>D42*0.75</f>
        <v>8338.2000000000007</v>
      </c>
    </row>
    <row r="43" spans="1:5" x14ac:dyDescent="0.25">
      <c r="A43" s="61" t="s">
        <v>70</v>
      </c>
      <c r="B43" s="47">
        <v>0</v>
      </c>
      <c r="C43" s="47">
        <f>B43*0.1</f>
        <v>0</v>
      </c>
      <c r="D43" s="47">
        <f>SUM(B43:C43)</f>
        <v>0</v>
      </c>
      <c r="E43" s="73">
        <f>SUM(B43:C43)*0.75</f>
        <v>0</v>
      </c>
    </row>
    <row r="44" spans="1:5" x14ac:dyDescent="0.25">
      <c r="A44" s="64" t="s">
        <v>71</v>
      </c>
      <c r="B44" s="48">
        <v>0</v>
      </c>
      <c r="C44" s="48">
        <f>B44*0.1</f>
        <v>0</v>
      </c>
      <c r="D44" s="48">
        <f t="shared" ref="D44:D45" si="21">SUM(B44:C44)</f>
        <v>0</v>
      </c>
      <c r="E44" s="74">
        <f t="shared" ref="E44" si="22">(D44*0.75)</f>
        <v>0</v>
      </c>
    </row>
    <row r="45" spans="1:5" x14ac:dyDescent="0.25">
      <c r="A45" s="66" t="s">
        <v>72</v>
      </c>
      <c r="B45" s="44">
        <v>0</v>
      </c>
      <c r="C45" s="44">
        <f t="shared" ref="C45" si="23">B45*0.1</f>
        <v>0</v>
      </c>
      <c r="D45" s="44">
        <f t="shared" si="21"/>
        <v>0</v>
      </c>
      <c r="E45" s="70">
        <f>(D45*0.75)</f>
        <v>0</v>
      </c>
    </row>
    <row r="46" spans="1:5" x14ac:dyDescent="0.25">
      <c r="A46" s="10"/>
      <c r="B46" s="44"/>
      <c r="C46" s="44"/>
      <c r="D46" s="44"/>
      <c r="E46" s="70"/>
    </row>
    <row r="47" spans="1:5" ht="15.75" x14ac:dyDescent="0.25">
      <c r="A47" s="25" t="s">
        <v>3</v>
      </c>
      <c r="B47" s="75">
        <f>B36+B40+B41+B43+B44+B45+B39</f>
        <v>60101.599999999999</v>
      </c>
      <c r="C47" s="75">
        <f t="shared" ref="C47:E47" si="24">C36+C40+C41+C43+C44+C45+C39</f>
        <v>4898.3999999999996</v>
      </c>
      <c r="D47" s="75">
        <f t="shared" si="24"/>
        <v>65000</v>
      </c>
      <c r="E47" s="75">
        <f t="shared" si="24"/>
        <v>48750</v>
      </c>
    </row>
  </sheetData>
  <mergeCells count="7">
    <mergeCell ref="A3:C3"/>
    <mergeCell ref="A9:E10"/>
    <mergeCell ref="A4:D4"/>
    <mergeCell ref="A8:D8"/>
    <mergeCell ref="A5:E5"/>
    <mergeCell ref="A6:E6"/>
    <mergeCell ref="A7:E7"/>
  </mergeCells>
  <phoneticPr fontId="14" type="noConversion"/>
  <pageMargins left="0.7" right="0.7" top="0.75" bottom="0.75" header="0.3" footer="0.3"/>
  <pageSetup paperSize="9" scale="89"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zoomScale="85" zoomScaleNormal="85" workbookViewId="0">
      <selection activeCell="K13" sqref="K13"/>
    </sheetView>
  </sheetViews>
  <sheetFormatPr defaultRowHeight="15" x14ac:dyDescent="0.25"/>
  <cols>
    <col min="1" max="1" width="53.5703125" customWidth="1"/>
    <col min="2" max="3" width="16.140625" customWidth="1"/>
    <col min="4" max="4" width="17.5703125" customWidth="1"/>
    <col min="5" max="5" width="21.5703125" bestFit="1" customWidth="1"/>
    <col min="7" max="7" width="53.28515625" customWidth="1"/>
    <col min="8" max="10" width="16" customWidth="1"/>
    <col min="11" max="11" width="21.42578125" customWidth="1"/>
  </cols>
  <sheetData>
    <row r="1" spans="1:11" ht="22.5" customHeight="1" x14ac:dyDescent="0.3">
      <c r="A1" s="4" t="s">
        <v>4</v>
      </c>
      <c r="B1" s="3"/>
      <c r="C1" s="3"/>
      <c r="D1" s="3"/>
      <c r="E1" s="3"/>
    </row>
    <row r="3" spans="1:11" ht="15.75" x14ac:dyDescent="0.25">
      <c r="A3" s="2" t="s">
        <v>12</v>
      </c>
    </row>
    <row r="4" spans="1:11" ht="15.75" x14ac:dyDescent="0.25">
      <c r="A4" s="1"/>
    </row>
    <row r="5" spans="1:11" ht="37.5" customHeight="1" x14ac:dyDescent="0.25">
      <c r="A5" s="27" t="s">
        <v>14</v>
      </c>
      <c r="B5" s="16" t="s">
        <v>0</v>
      </c>
      <c r="C5" s="17" t="s">
        <v>1</v>
      </c>
      <c r="D5" s="17" t="s">
        <v>2</v>
      </c>
      <c r="E5" s="18" t="s">
        <v>28</v>
      </c>
      <c r="G5" s="27" t="s">
        <v>15</v>
      </c>
      <c r="H5" s="16" t="s">
        <v>0</v>
      </c>
      <c r="I5" s="17" t="s">
        <v>1</v>
      </c>
      <c r="J5" s="17" t="s">
        <v>2</v>
      </c>
      <c r="K5" s="18" t="s">
        <v>28</v>
      </c>
    </row>
    <row r="6" spans="1:11" ht="66.75" customHeight="1" x14ac:dyDescent="0.25">
      <c r="A6" s="53" t="s">
        <v>66</v>
      </c>
      <c r="B6" s="54">
        <f>SUM(B7:B8)</f>
        <v>15975.439999999999</v>
      </c>
      <c r="C6" s="54">
        <f t="shared" ref="C6:E6" si="0">SUM(C7:C8)</f>
        <v>1597.5440000000001</v>
      </c>
      <c r="D6" s="54">
        <f t="shared" si="0"/>
        <v>17572.983999999997</v>
      </c>
      <c r="E6" s="54">
        <f t="shared" si="0"/>
        <v>17572.983999999997</v>
      </c>
      <c r="G6" s="19" t="s">
        <v>25</v>
      </c>
      <c r="H6" s="54">
        <f>SUM(H7:H8)</f>
        <v>15975.439999999999</v>
      </c>
      <c r="I6" s="54">
        <f t="shared" ref="I6" si="1">SUM(I7:I8)</f>
        <v>1597.5440000000001</v>
      </c>
      <c r="J6" s="54">
        <f t="shared" ref="J6" si="2">SUM(J7:J8)</f>
        <v>17572.983999999997</v>
      </c>
      <c r="K6" s="54">
        <f t="shared" ref="K6" si="3">SUM(K7:K8)</f>
        <v>17572.983999999997</v>
      </c>
    </row>
    <row r="7" spans="1:11" ht="66.75" customHeight="1" x14ac:dyDescent="0.25">
      <c r="A7" s="55" t="s">
        <v>88</v>
      </c>
      <c r="B7" s="54">
        <f>2*52*39.51</f>
        <v>4109.04</v>
      </c>
      <c r="C7" s="54">
        <f>B7*0.1</f>
        <v>410.904</v>
      </c>
      <c r="D7" s="54">
        <f>B7+C7</f>
        <v>4519.9439999999995</v>
      </c>
      <c r="E7" s="54">
        <f>D7</f>
        <v>4519.9439999999995</v>
      </c>
      <c r="G7" s="55" t="s">
        <v>88</v>
      </c>
      <c r="H7" s="54">
        <f>2*52*39.51</f>
        <v>4109.04</v>
      </c>
      <c r="I7" s="54">
        <f>H7*0.1</f>
        <v>410.904</v>
      </c>
      <c r="J7" s="54">
        <f>H7+I7</f>
        <v>4519.9439999999995</v>
      </c>
      <c r="K7" s="54">
        <f>J7</f>
        <v>4519.9439999999995</v>
      </c>
    </row>
    <row r="8" spans="1:11" ht="66.75" customHeight="1" x14ac:dyDescent="0.25">
      <c r="A8" s="55" t="s">
        <v>89</v>
      </c>
      <c r="B8" s="54">
        <f>10*52*22.82</f>
        <v>11866.4</v>
      </c>
      <c r="C8" s="54">
        <f>B8*0.1</f>
        <v>1186.6400000000001</v>
      </c>
      <c r="D8" s="54">
        <f>B8+C8</f>
        <v>13053.039999999999</v>
      </c>
      <c r="E8" s="54">
        <f>D8</f>
        <v>13053.039999999999</v>
      </c>
      <c r="G8" s="55" t="s">
        <v>89</v>
      </c>
      <c r="H8" s="54">
        <f>10*52*22.82</f>
        <v>11866.4</v>
      </c>
      <c r="I8" s="54">
        <f>H8*0.1</f>
        <v>1186.6400000000001</v>
      </c>
      <c r="J8" s="54">
        <f>H8+I8</f>
        <v>13053.039999999999</v>
      </c>
      <c r="K8" s="54">
        <f>J8</f>
        <v>13053.039999999999</v>
      </c>
    </row>
    <row r="9" spans="1:11" s="83" customFormat="1" ht="66.75" customHeight="1" x14ac:dyDescent="0.25">
      <c r="A9" s="53" t="s">
        <v>67</v>
      </c>
      <c r="B9" s="54">
        <f>SUM(B10)</f>
        <v>19760</v>
      </c>
      <c r="C9" s="54">
        <f t="shared" ref="C9:E9" si="4">SUM(C10)</f>
        <v>1976</v>
      </c>
      <c r="D9" s="54">
        <f t="shared" si="4"/>
        <v>21736</v>
      </c>
      <c r="E9" s="54">
        <f t="shared" si="4"/>
        <v>21736</v>
      </c>
      <c r="G9" s="53" t="s">
        <v>67</v>
      </c>
      <c r="H9" s="54">
        <f>SUM(H10:H11)</f>
        <v>54080</v>
      </c>
      <c r="I9" s="54">
        <f t="shared" ref="I9:K9" si="5">SUM(I10:I11)</f>
        <v>5408</v>
      </c>
      <c r="J9" s="54">
        <f t="shared" si="5"/>
        <v>59488</v>
      </c>
      <c r="K9" s="54">
        <f t="shared" si="5"/>
        <v>59488</v>
      </c>
    </row>
    <row r="10" spans="1:11" x14ac:dyDescent="0.25">
      <c r="A10" s="55" t="s">
        <v>96</v>
      </c>
      <c r="B10" s="54">
        <f>40*26*19</f>
        <v>19760</v>
      </c>
      <c r="C10" s="54">
        <f t="shared" ref="C10" si="6">B10*0.1</f>
        <v>1976</v>
      </c>
      <c r="D10" s="54">
        <f t="shared" ref="D10" si="7">B10+C10</f>
        <v>21736</v>
      </c>
      <c r="E10" s="54">
        <f t="shared" ref="E10" si="8">D10</f>
        <v>21736</v>
      </c>
      <c r="G10" s="55" t="s">
        <v>97</v>
      </c>
      <c r="H10" s="54">
        <f>40*52*19</f>
        <v>39520</v>
      </c>
      <c r="I10" s="54">
        <f t="shared" ref="I10:I11" si="9">H10*0.1</f>
        <v>3952</v>
      </c>
      <c r="J10" s="54">
        <f t="shared" ref="J10:J11" si="10">H10+I10</f>
        <v>43472</v>
      </c>
      <c r="K10" s="54">
        <f t="shared" ref="K10:K11" si="11">J10</f>
        <v>43472</v>
      </c>
    </row>
    <row r="11" spans="1:11" ht="37.5" customHeight="1" x14ac:dyDescent="0.25">
      <c r="A11" s="98" t="s">
        <v>95</v>
      </c>
      <c r="B11" s="57">
        <f>B12</f>
        <v>7000</v>
      </c>
      <c r="C11" s="57">
        <f t="shared" ref="C11:E11" si="12">C12</f>
        <v>500</v>
      </c>
      <c r="D11" s="57">
        <f t="shared" si="12"/>
        <v>7500</v>
      </c>
      <c r="E11" s="57">
        <f t="shared" si="12"/>
        <v>7500</v>
      </c>
      <c r="G11" s="55" t="s">
        <v>54</v>
      </c>
      <c r="H11" s="54">
        <f>20*52*14</f>
        <v>14560</v>
      </c>
      <c r="I11" s="54">
        <f t="shared" si="9"/>
        <v>1456</v>
      </c>
      <c r="J11" s="54">
        <f t="shared" si="10"/>
        <v>16016</v>
      </c>
      <c r="K11" s="54">
        <f t="shared" si="11"/>
        <v>16016</v>
      </c>
    </row>
    <row r="12" spans="1:11" ht="37.5" customHeight="1" x14ac:dyDescent="0.25">
      <c r="A12" s="58" t="s">
        <v>56</v>
      </c>
      <c r="B12" s="57">
        <v>7000</v>
      </c>
      <c r="C12" s="57">
        <v>500</v>
      </c>
      <c r="D12" s="57">
        <f>SUM(B12:C12)</f>
        <v>7500</v>
      </c>
      <c r="E12" s="57">
        <f>D12</f>
        <v>7500</v>
      </c>
      <c r="G12" s="98" t="s">
        <v>95</v>
      </c>
      <c r="H12" s="57">
        <f>H13</f>
        <v>2500</v>
      </c>
      <c r="I12" s="57">
        <f t="shared" ref="I12:K12" si="13">I13</f>
        <v>250</v>
      </c>
      <c r="J12" s="57">
        <f t="shared" si="13"/>
        <v>2750</v>
      </c>
      <c r="K12" s="57">
        <f t="shared" si="13"/>
        <v>2750</v>
      </c>
    </row>
    <row r="13" spans="1:11" ht="37.5" customHeight="1" x14ac:dyDescent="0.25">
      <c r="A13" s="36" t="s">
        <v>16</v>
      </c>
      <c r="B13" s="46">
        <f>B14</f>
        <v>4630.03</v>
      </c>
      <c r="C13" s="46">
        <f t="shared" ref="C13:E13" si="14">C14</f>
        <v>0</v>
      </c>
      <c r="D13" s="46">
        <f t="shared" si="14"/>
        <v>4630.03</v>
      </c>
      <c r="E13" s="46">
        <f t="shared" si="14"/>
        <v>4630.03</v>
      </c>
      <c r="G13" s="58" t="s">
        <v>57</v>
      </c>
      <c r="H13" s="57">
        <v>2500</v>
      </c>
      <c r="I13" s="57">
        <f t="shared" ref="I13" si="15">H13*0.1</f>
        <v>250</v>
      </c>
      <c r="J13" s="57">
        <f>SUM(H13:I13)</f>
        <v>2750</v>
      </c>
      <c r="K13" s="57">
        <f>J13</f>
        <v>2750</v>
      </c>
    </row>
    <row r="14" spans="1:11" ht="37.5" customHeight="1" x14ac:dyDescent="0.25">
      <c r="A14" s="77" t="s">
        <v>77</v>
      </c>
      <c r="B14" s="60">
        <v>4630.03</v>
      </c>
      <c r="C14" s="60">
        <v>0</v>
      </c>
      <c r="D14" s="60">
        <f>B14</f>
        <v>4630.03</v>
      </c>
      <c r="E14" s="60">
        <f>D14</f>
        <v>4630.03</v>
      </c>
      <c r="G14" s="36" t="s">
        <v>16</v>
      </c>
      <c r="H14" s="46">
        <v>0</v>
      </c>
      <c r="I14" s="46">
        <v>0</v>
      </c>
      <c r="J14" s="46">
        <v>0</v>
      </c>
      <c r="K14" s="46">
        <v>0</v>
      </c>
    </row>
    <row r="15" spans="1:11" x14ac:dyDescent="0.25">
      <c r="A15" s="61" t="s">
        <v>70</v>
      </c>
      <c r="B15" s="62">
        <f>SUM(B16:B18)</f>
        <v>7500</v>
      </c>
      <c r="C15" s="62">
        <v>500</v>
      </c>
      <c r="D15" s="62">
        <f>SUM(B15:C15)</f>
        <v>8000</v>
      </c>
      <c r="E15" s="62">
        <f>SUM(B15:C15)</f>
        <v>8000</v>
      </c>
      <c r="G15" s="61" t="s">
        <v>70</v>
      </c>
      <c r="H15" s="62">
        <f>SUM(H19:H20)</f>
        <v>0</v>
      </c>
      <c r="I15" s="62"/>
      <c r="J15" s="62"/>
      <c r="K15" s="62"/>
    </row>
    <row r="16" spans="1:11" x14ac:dyDescent="0.25">
      <c r="A16" s="63" t="s">
        <v>60</v>
      </c>
      <c r="B16" s="62">
        <v>3000</v>
      </c>
      <c r="C16" s="62">
        <f>B16*0.1</f>
        <v>300</v>
      </c>
      <c r="D16" s="62">
        <f>SUM(B16:C16)</f>
        <v>3300</v>
      </c>
      <c r="E16" s="62">
        <f>D16</f>
        <v>3300</v>
      </c>
      <c r="G16" s="64" t="s">
        <v>71</v>
      </c>
      <c r="H16" s="65">
        <f>SUM(H17:H18)</f>
        <v>6363.6399999999994</v>
      </c>
      <c r="I16" s="65">
        <f>H16*0.1</f>
        <v>636.36400000000003</v>
      </c>
      <c r="J16" s="65">
        <f t="shared" ref="J16:J18" si="16">SUM(H16:I16)</f>
        <v>7000.003999999999</v>
      </c>
      <c r="K16" s="65">
        <f t="shared" ref="K16" si="17">SUM(H16:I16)</f>
        <v>7000.003999999999</v>
      </c>
    </row>
    <row r="17" spans="1:11" x14ac:dyDescent="0.25">
      <c r="A17" s="63" t="s">
        <v>61</v>
      </c>
      <c r="B17" s="62">
        <v>2000</v>
      </c>
      <c r="C17" s="62">
        <f t="shared" ref="C17" si="18">B17*0.1</f>
        <v>200</v>
      </c>
      <c r="D17" s="62">
        <f t="shared" ref="D17:D18" si="19">SUM(B17:C17)</f>
        <v>2200</v>
      </c>
      <c r="E17" s="62">
        <f t="shared" ref="E17:E18" si="20">D17</f>
        <v>2200</v>
      </c>
      <c r="G17" s="64" t="s">
        <v>64</v>
      </c>
      <c r="H17" s="65">
        <v>4000</v>
      </c>
      <c r="I17" s="65">
        <f t="shared" ref="I17:I18" si="21">H17*0.1</f>
        <v>400</v>
      </c>
      <c r="J17" s="65">
        <f t="shared" si="16"/>
        <v>4400</v>
      </c>
      <c r="K17" s="65">
        <f>J17</f>
        <v>4400</v>
      </c>
    </row>
    <row r="18" spans="1:11" ht="37.5" customHeight="1" x14ac:dyDescent="0.25">
      <c r="A18" s="63" t="s">
        <v>62</v>
      </c>
      <c r="B18" s="62">
        <v>2500</v>
      </c>
      <c r="C18" s="62">
        <v>0</v>
      </c>
      <c r="D18" s="62">
        <f t="shared" si="19"/>
        <v>2500</v>
      </c>
      <c r="E18" s="62">
        <f t="shared" si="20"/>
        <v>2500</v>
      </c>
      <c r="G18" s="64" t="s">
        <v>65</v>
      </c>
      <c r="H18" s="65">
        <v>2363.64</v>
      </c>
      <c r="I18" s="65">
        <f t="shared" si="21"/>
        <v>236.364</v>
      </c>
      <c r="J18" s="65">
        <f t="shared" si="16"/>
        <v>2600.0039999999999</v>
      </c>
      <c r="K18" s="65">
        <f>J18</f>
        <v>2600.0039999999999</v>
      </c>
    </row>
    <row r="19" spans="1:11" ht="37.5" customHeight="1" x14ac:dyDescent="0.25">
      <c r="A19" s="64" t="s">
        <v>71</v>
      </c>
      <c r="B19" s="48"/>
      <c r="C19" s="48">
        <f>B19*0.1</f>
        <v>0</v>
      </c>
      <c r="D19" s="48">
        <f t="shared" ref="D19:D20" si="22">SUM(B19:C19)</f>
        <v>0</v>
      </c>
      <c r="E19" s="48">
        <f t="shared" ref="E19:E20" si="23">SUM(B19:C19)</f>
        <v>0</v>
      </c>
      <c r="G19" s="22" t="s">
        <v>17</v>
      </c>
      <c r="H19" s="44"/>
      <c r="I19" s="44">
        <f t="shared" ref="I19:I21" si="24">H19*0.1</f>
        <v>0</v>
      </c>
      <c r="J19" s="44">
        <f t="shared" ref="J19" si="25">SUM(H19:I19)</f>
        <v>0</v>
      </c>
      <c r="K19" s="44">
        <f t="shared" ref="K19" si="26">SUM(H19:I19)</f>
        <v>0</v>
      </c>
    </row>
    <row r="20" spans="1:11" ht="37.5" customHeight="1" x14ac:dyDescent="0.25">
      <c r="A20" s="22" t="s">
        <v>17</v>
      </c>
      <c r="B20" s="44"/>
      <c r="C20" s="44">
        <f t="shared" ref="C20:C22" si="27">B20*0.1</f>
        <v>0</v>
      </c>
      <c r="D20" s="44">
        <f t="shared" si="22"/>
        <v>0</v>
      </c>
      <c r="E20" s="44">
        <f t="shared" si="23"/>
        <v>0</v>
      </c>
      <c r="G20" s="22" t="s">
        <v>17</v>
      </c>
      <c r="H20" s="44"/>
      <c r="I20" s="44">
        <f t="shared" si="24"/>
        <v>0</v>
      </c>
      <c r="J20" s="44">
        <f t="shared" ref="J20:J21" si="28">SUM(H20:I20)</f>
        <v>0</v>
      </c>
      <c r="K20" s="44">
        <f t="shared" ref="K20:K21" si="29">SUM(H20:I20)</f>
        <v>0</v>
      </c>
    </row>
    <row r="21" spans="1:11" ht="31.5" x14ac:dyDescent="0.25">
      <c r="A21" s="22" t="s">
        <v>17</v>
      </c>
      <c r="B21" s="44"/>
      <c r="C21" s="44">
        <f t="shared" si="27"/>
        <v>0</v>
      </c>
      <c r="D21" s="44">
        <f t="shared" ref="D21:D22" si="30">SUM(B21:C21)</f>
        <v>0</v>
      </c>
      <c r="E21" s="44">
        <f t="shared" ref="E21:E22" si="31">SUM(B21:C21)</f>
        <v>0</v>
      </c>
      <c r="G21" s="22" t="s">
        <v>17</v>
      </c>
      <c r="H21" s="44"/>
      <c r="I21" s="44">
        <f t="shared" si="24"/>
        <v>0</v>
      </c>
      <c r="J21" s="44">
        <f t="shared" si="28"/>
        <v>0</v>
      </c>
      <c r="K21" s="44">
        <f t="shared" si="29"/>
        <v>0</v>
      </c>
    </row>
    <row r="22" spans="1:11" ht="31.5" x14ac:dyDescent="0.25">
      <c r="A22" s="22" t="s">
        <v>17</v>
      </c>
      <c r="B22" s="44"/>
      <c r="C22" s="44">
        <f t="shared" si="27"/>
        <v>0</v>
      </c>
      <c r="D22" s="44">
        <f t="shared" si="30"/>
        <v>0</v>
      </c>
      <c r="E22" s="44">
        <f t="shared" si="31"/>
        <v>0</v>
      </c>
      <c r="G22" s="10"/>
      <c r="H22" s="44"/>
      <c r="I22" s="44"/>
      <c r="J22" s="44"/>
      <c r="K22" s="44"/>
    </row>
    <row r="23" spans="1:11" ht="15.75" x14ac:dyDescent="0.25">
      <c r="A23" s="10"/>
      <c r="B23" s="44"/>
      <c r="C23" s="44"/>
      <c r="D23" s="44"/>
      <c r="E23" s="44"/>
      <c r="G23" s="25" t="s">
        <v>3</v>
      </c>
      <c r="H23" s="49">
        <f>H6+H9+H12+H14+H15+H16</f>
        <v>78919.08</v>
      </c>
      <c r="I23" s="49">
        <f t="shared" ref="I23:K23" si="32">I6+I9+I12+I14+I15+I16</f>
        <v>7891.9079999999994</v>
      </c>
      <c r="J23" s="49">
        <f t="shared" si="32"/>
        <v>86810.987999999998</v>
      </c>
      <c r="K23" s="49">
        <f t="shared" si="32"/>
        <v>86810.987999999998</v>
      </c>
    </row>
    <row r="24" spans="1:11" ht="15.75" x14ac:dyDescent="0.25">
      <c r="A24" s="25" t="s">
        <v>3</v>
      </c>
      <c r="B24" s="49">
        <f>SUM(B15,B13,B11,B9,B6)</f>
        <v>54865.47</v>
      </c>
      <c r="C24" s="49">
        <f t="shared" ref="C24:D24" si="33">SUM(C15,C13,C11,C9,C6)</f>
        <v>4573.5439999999999</v>
      </c>
      <c r="D24" s="49">
        <f t="shared" si="33"/>
        <v>59439.013999999996</v>
      </c>
      <c r="E24" s="49">
        <f>SUM(E15,E13,E11,E9,E6)</f>
        <v>59439.013999999996</v>
      </c>
    </row>
    <row r="25" spans="1:11" ht="15.75" x14ac:dyDescent="0.25">
      <c r="A25" s="1"/>
    </row>
    <row r="26" spans="1:11" ht="15.75" x14ac:dyDescent="0.25">
      <c r="A26" s="1"/>
    </row>
  </sheetData>
  <pageMargins left="0.7" right="0.7" top="0.75" bottom="0.75" header="0.3" footer="0.3"/>
  <pageSetup paperSize="9" scale="29" fitToHeight="0"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1"/>
  <sheetViews>
    <sheetView zoomScale="70" zoomScaleNormal="70" workbookViewId="0">
      <selection activeCell="O11" sqref="O11"/>
    </sheetView>
  </sheetViews>
  <sheetFormatPr defaultRowHeight="15" x14ac:dyDescent="0.25"/>
  <cols>
    <col min="1" max="1" width="53.5703125" customWidth="1"/>
    <col min="2" max="3" width="16.140625" customWidth="1"/>
    <col min="4" max="4" width="17.5703125" customWidth="1"/>
    <col min="5" max="5" width="23.28515625" customWidth="1"/>
    <col min="7" max="7" width="53.28515625" customWidth="1"/>
    <col min="8" max="10" width="16" customWidth="1"/>
    <col min="11" max="11" width="21.42578125" customWidth="1"/>
  </cols>
  <sheetData>
    <row r="1" spans="1:11" ht="22.5" customHeight="1" x14ac:dyDescent="0.3">
      <c r="A1" s="4" t="s">
        <v>4</v>
      </c>
      <c r="B1" s="3"/>
      <c r="C1" s="3"/>
      <c r="D1" s="3"/>
      <c r="E1" s="3"/>
    </row>
    <row r="3" spans="1:11" ht="15.75" x14ac:dyDescent="0.25">
      <c r="A3" s="2" t="s">
        <v>12</v>
      </c>
    </row>
    <row r="4" spans="1:11" ht="15.75" x14ac:dyDescent="0.25">
      <c r="A4" s="1"/>
    </row>
    <row r="5" spans="1:11" ht="37.5" customHeight="1" x14ac:dyDescent="0.25">
      <c r="A5" s="27" t="s">
        <v>14</v>
      </c>
      <c r="B5" s="16" t="s">
        <v>0</v>
      </c>
      <c r="C5" s="17" t="s">
        <v>1</v>
      </c>
      <c r="D5" s="17" t="s">
        <v>2</v>
      </c>
      <c r="E5" s="18" t="s">
        <v>28</v>
      </c>
      <c r="G5" s="27" t="s">
        <v>15</v>
      </c>
      <c r="H5" s="16" t="s">
        <v>0</v>
      </c>
      <c r="I5" s="17" t="s">
        <v>1</v>
      </c>
      <c r="J5" s="17" t="s">
        <v>2</v>
      </c>
      <c r="K5" s="18" t="s">
        <v>28</v>
      </c>
    </row>
    <row r="6" spans="1:11" ht="66.75" customHeight="1" x14ac:dyDescent="0.25">
      <c r="A6" s="53" t="s">
        <v>66</v>
      </c>
      <c r="B6" s="44">
        <f>B7</f>
        <v>3432</v>
      </c>
      <c r="C6" s="44">
        <f>B6*0.1</f>
        <v>343.20000000000005</v>
      </c>
      <c r="D6" s="44">
        <f>SUM(B6:C6)</f>
        <v>3775.2</v>
      </c>
      <c r="E6" s="70">
        <f>(D6*0.75)</f>
        <v>2831.3999999999996</v>
      </c>
      <c r="G6" s="53" t="s">
        <v>66</v>
      </c>
      <c r="H6" s="44">
        <f>H7</f>
        <v>3432</v>
      </c>
      <c r="I6" s="44">
        <f>H6*0.1</f>
        <v>343.20000000000005</v>
      </c>
      <c r="J6" s="44">
        <f>SUM(H6:I6)</f>
        <v>3775.2</v>
      </c>
      <c r="K6" s="70">
        <f>(J6*0.75)</f>
        <v>2831.3999999999996</v>
      </c>
    </row>
    <row r="7" spans="1:11" ht="37.5" customHeight="1" x14ac:dyDescent="0.25">
      <c r="A7" s="19" t="s">
        <v>98</v>
      </c>
      <c r="B7" s="44">
        <f>2*52*33</f>
        <v>3432</v>
      </c>
      <c r="C7" s="44">
        <f>B7*0.1</f>
        <v>343.20000000000005</v>
      </c>
      <c r="D7" s="44">
        <f>SUM(B7:C7)</f>
        <v>3775.2</v>
      </c>
      <c r="E7" s="70">
        <f>D7*0.75</f>
        <v>2831.3999999999996</v>
      </c>
      <c r="G7" s="19" t="s">
        <v>98</v>
      </c>
      <c r="H7" s="44">
        <f>2*52*33</f>
        <v>3432</v>
      </c>
      <c r="I7" s="44">
        <f>H7*0.1</f>
        <v>343.20000000000005</v>
      </c>
      <c r="J7" s="44">
        <f>SUM(H7:I7)</f>
        <v>3775.2</v>
      </c>
      <c r="K7" s="70">
        <f>J7*0.75</f>
        <v>2831.3999999999996</v>
      </c>
    </row>
    <row r="8" spans="1:11" ht="37.5" customHeight="1" x14ac:dyDescent="0.25">
      <c r="A8" s="76" t="s">
        <v>75</v>
      </c>
      <c r="B8" s="44">
        <f>B9</f>
        <v>14040</v>
      </c>
      <c r="C8" s="44">
        <f t="shared" ref="C8:E8" si="0">C9</f>
        <v>1404</v>
      </c>
      <c r="D8" s="44">
        <f t="shared" si="0"/>
        <v>15444</v>
      </c>
      <c r="E8" s="44">
        <f t="shared" si="0"/>
        <v>11583</v>
      </c>
      <c r="G8" s="76" t="s">
        <v>75</v>
      </c>
      <c r="H8" s="44">
        <f>H9</f>
        <v>28080</v>
      </c>
      <c r="I8" s="44">
        <f t="shared" ref="I8" si="1">I9</f>
        <v>2808</v>
      </c>
      <c r="J8" s="44">
        <f t="shared" ref="J8" si="2">J9</f>
        <v>30888</v>
      </c>
      <c r="K8" s="44">
        <f t="shared" ref="K8" si="3">K9</f>
        <v>23166</v>
      </c>
    </row>
    <row r="9" spans="1:11" ht="37.5" customHeight="1" x14ac:dyDescent="0.25">
      <c r="A9" s="19" t="s">
        <v>99</v>
      </c>
      <c r="B9" s="44">
        <f>40*26*13.5</f>
        <v>14040</v>
      </c>
      <c r="C9" s="44">
        <f t="shared" ref="C9" si="4">B9*0.1</f>
        <v>1404</v>
      </c>
      <c r="D9" s="44">
        <f t="shared" ref="D9" si="5">SUM(B9:C9)</f>
        <v>15444</v>
      </c>
      <c r="E9" s="70">
        <f t="shared" ref="E9" si="6">D9*0.75</f>
        <v>11583</v>
      </c>
      <c r="G9" s="19" t="s">
        <v>100</v>
      </c>
      <c r="H9" s="44">
        <f>40*52*13.5</f>
        <v>28080</v>
      </c>
      <c r="I9" s="44">
        <f t="shared" ref="I9" si="7">H9*0.1</f>
        <v>2808</v>
      </c>
      <c r="J9" s="44">
        <f t="shared" ref="J9" si="8">SUM(H9:I9)</f>
        <v>30888</v>
      </c>
      <c r="K9" s="70">
        <f t="shared" ref="K9" si="9">J9*0.75</f>
        <v>23166</v>
      </c>
    </row>
    <row r="10" spans="1:11" ht="37.5" customHeight="1" x14ac:dyDescent="0.25">
      <c r="A10" s="98" t="s">
        <v>95</v>
      </c>
      <c r="B10" s="28"/>
      <c r="C10" s="28">
        <f>IF(B10&gt;=5000,500,B10*0.1)</f>
        <v>0</v>
      </c>
      <c r="D10" s="28">
        <f t="shared" ref="D10:D15" si="10">SUM(B10:C10)</f>
        <v>0</v>
      </c>
      <c r="E10" s="29">
        <f t="shared" ref="E10:E17" si="11">(D10*0.75)</f>
        <v>0</v>
      </c>
      <c r="G10" s="98" t="s">
        <v>95</v>
      </c>
      <c r="H10" s="28">
        <v>0</v>
      </c>
      <c r="I10" s="28">
        <f>IF(H10&gt;=5000,500,H10*0.1)</f>
        <v>0</v>
      </c>
      <c r="J10" s="28">
        <f t="shared" ref="J10" si="12">SUM(H10:I10)</f>
        <v>0</v>
      </c>
      <c r="K10" s="29">
        <f t="shared" ref="K10:K16" si="13">(J10*0.75)</f>
        <v>0</v>
      </c>
    </row>
    <row r="11" spans="1:11" ht="37.5" customHeight="1" x14ac:dyDescent="0.25">
      <c r="A11" s="59" t="s">
        <v>69</v>
      </c>
      <c r="B11" s="46">
        <f>B12</f>
        <v>11117.6</v>
      </c>
      <c r="C11" s="46">
        <f>0</f>
        <v>0</v>
      </c>
      <c r="D11" s="46">
        <f>SUM(B11:C11)</f>
        <v>11117.6</v>
      </c>
      <c r="E11" s="72">
        <f t="shared" si="11"/>
        <v>8338.2000000000007</v>
      </c>
      <c r="G11" s="59" t="s">
        <v>69</v>
      </c>
      <c r="H11" s="37">
        <v>0</v>
      </c>
      <c r="I11" s="37">
        <f>0</f>
        <v>0</v>
      </c>
      <c r="J11" s="37">
        <f>SUM(H11:I11)</f>
        <v>0</v>
      </c>
      <c r="K11" s="38">
        <f t="shared" si="13"/>
        <v>0</v>
      </c>
    </row>
    <row r="12" spans="1:11" x14ac:dyDescent="0.25">
      <c r="A12" s="77" t="s">
        <v>78</v>
      </c>
      <c r="B12" s="46">
        <v>11117.6</v>
      </c>
      <c r="C12" s="46">
        <v>0</v>
      </c>
      <c r="D12" s="46">
        <f>B12</f>
        <v>11117.6</v>
      </c>
      <c r="E12" s="72">
        <f>D12*0.75</f>
        <v>8338.2000000000007</v>
      </c>
      <c r="G12" s="61" t="s">
        <v>70</v>
      </c>
      <c r="H12" s="30">
        <v>0</v>
      </c>
      <c r="I12" s="30">
        <f>IF((B13+H12)&gt;5000,(500-C13),0.1*(H12))</f>
        <v>0</v>
      </c>
      <c r="J12" s="30">
        <f>SUM(H12:I12)</f>
        <v>0</v>
      </c>
      <c r="K12" s="31">
        <f t="shared" si="13"/>
        <v>0</v>
      </c>
    </row>
    <row r="13" spans="1:11" x14ac:dyDescent="0.25">
      <c r="A13" s="61" t="s">
        <v>70</v>
      </c>
      <c r="B13" s="30"/>
      <c r="C13" s="30">
        <f>IF(B13&gt;=5000,500,B13*0.1)</f>
        <v>0</v>
      </c>
      <c r="D13" s="30">
        <f>SUM(B13:C13)</f>
        <v>0</v>
      </c>
      <c r="E13" s="31">
        <f t="shared" si="11"/>
        <v>0</v>
      </c>
      <c r="G13" s="64" t="s">
        <v>71</v>
      </c>
      <c r="H13" s="34">
        <v>0</v>
      </c>
      <c r="I13" s="34">
        <f>H13*0.1</f>
        <v>0</v>
      </c>
      <c r="J13" s="34">
        <f t="shared" ref="J13:J14" si="14">SUM(H13:I13)</f>
        <v>0</v>
      </c>
      <c r="K13" s="35">
        <f t="shared" si="13"/>
        <v>0</v>
      </c>
    </row>
    <row r="14" spans="1:11" ht="31.5" x14ac:dyDescent="0.25">
      <c r="A14" s="64" t="s">
        <v>71</v>
      </c>
      <c r="B14" s="34"/>
      <c r="C14" s="34">
        <f>B14*0.1</f>
        <v>0</v>
      </c>
      <c r="D14" s="34">
        <f t="shared" si="10"/>
        <v>0</v>
      </c>
      <c r="E14" s="35">
        <f t="shared" si="11"/>
        <v>0</v>
      </c>
      <c r="G14" s="22" t="s">
        <v>17</v>
      </c>
      <c r="H14" s="20">
        <v>0</v>
      </c>
      <c r="I14" s="20">
        <f t="shared" ref="I14:I16" si="15">H14*0.1</f>
        <v>0</v>
      </c>
      <c r="J14" s="20">
        <f t="shared" si="14"/>
        <v>0</v>
      </c>
      <c r="K14" s="21">
        <f t="shared" si="13"/>
        <v>0</v>
      </c>
    </row>
    <row r="15" spans="1:11" ht="37.5" customHeight="1" x14ac:dyDescent="0.25">
      <c r="A15" s="22" t="s">
        <v>17</v>
      </c>
      <c r="B15" s="20"/>
      <c r="C15" s="20">
        <f t="shared" ref="C15:C17" si="16">B15*0.1</f>
        <v>0</v>
      </c>
      <c r="D15" s="20">
        <f t="shared" si="10"/>
        <v>0</v>
      </c>
      <c r="E15" s="21">
        <f t="shared" si="11"/>
        <v>0</v>
      </c>
      <c r="G15" s="22" t="s">
        <v>17</v>
      </c>
      <c r="H15" s="20">
        <v>0</v>
      </c>
      <c r="I15" s="20">
        <f t="shared" si="15"/>
        <v>0</v>
      </c>
      <c r="J15" s="20">
        <f t="shared" ref="J15:J16" si="17">SUM(H15:I15)</f>
        <v>0</v>
      </c>
      <c r="K15" s="21">
        <f t="shared" si="13"/>
        <v>0</v>
      </c>
    </row>
    <row r="16" spans="1:11" ht="37.5" customHeight="1" x14ac:dyDescent="0.25">
      <c r="A16" s="22" t="s">
        <v>17</v>
      </c>
      <c r="B16" s="20"/>
      <c r="C16" s="20">
        <f t="shared" si="16"/>
        <v>0</v>
      </c>
      <c r="D16" s="20">
        <f t="shared" ref="D16:D17" si="18">SUM(B16:C16)</f>
        <v>0</v>
      </c>
      <c r="E16" s="21">
        <f t="shared" si="11"/>
        <v>0</v>
      </c>
      <c r="G16" s="22" t="s">
        <v>17</v>
      </c>
      <c r="H16" s="20">
        <v>0</v>
      </c>
      <c r="I16" s="20">
        <f t="shared" si="15"/>
        <v>0</v>
      </c>
      <c r="J16" s="20">
        <f t="shared" si="17"/>
        <v>0</v>
      </c>
      <c r="K16" s="21">
        <f t="shared" si="13"/>
        <v>0</v>
      </c>
    </row>
    <row r="17" spans="1:11" ht="37.5" customHeight="1" x14ac:dyDescent="0.25">
      <c r="A17" s="22" t="s">
        <v>17</v>
      </c>
      <c r="B17" s="20"/>
      <c r="C17" s="20">
        <f t="shared" si="16"/>
        <v>0</v>
      </c>
      <c r="D17" s="20">
        <f t="shared" si="18"/>
        <v>0</v>
      </c>
      <c r="E17" s="21">
        <f t="shared" si="11"/>
        <v>0</v>
      </c>
      <c r="G17" s="10"/>
      <c r="H17" s="23"/>
      <c r="I17" s="23"/>
      <c r="J17" s="23"/>
      <c r="K17" s="24"/>
    </row>
    <row r="18" spans="1:11" ht="15.75" x14ac:dyDescent="0.25">
      <c r="A18" s="10"/>
      <c r="B18" s="23"/>
      <c r="C18" s="23"/>
      <c r="D18" s="23"/>
      <c r="E18" s="24"/>
      <c r="G18" s="25" t="s">
        <v>3</v>
      </c>
      <c r="H18" s="26">
        <f>SUM(H13,H12,H11,H10,H8,H6)</f>
        <v>31512</v>
      </c>
      <c r="I18" s="26">
        <f t="shared" ref="I18:K18" si="19">SUM(I13,I12,I11,I10,I8,I6)</f>
        <v>3151.2</v>
      </c>
      <c r="J18" s="26">
        <f t="shared" si="19"/>
        <v>34663.199999999997</v>
      </c>
      <c r="K18" s="26">
        <f t="shared" si="19"/>
        <v>25997.4</v>
      </c>
    </row>
    <row r="19" spans="1:11" ht="15.75" x14ac:dyDescent="0.25">
      <c r="A19" s="25" t="s">
        <v>3</v>
      </c>
      <c r="B19" s="26">
        <f>SUM(B14,B13,B11,B10,B8,B6)</f>
        <v>28589.599999999999</v>
      </c>
      <c r="C19" s="26">
        <f t="shared" ref="C19:E19" si="20">SUM(C14,C13,C11,C10,C8,C6)</f>
        <v>1747.2</v>
      </c>
      <c r="D19" s="26">
        <f t="shared" si="20"/>
        <v>30336.799999999999</v>
      </c>
      <c r="E19" s="26">
        <f t="shared" si="20"/>
        <v>22752.6</v>
      </c>
    </row>
    <row r="20" spans="1:11" ht="15.75" x14ac:dyDescent="0.25">
      <c r="A20" s="1"/>
    </row>
    <row r="21" spans="1:11" ht="15.75" x14ac:dyDescent="0.25">
      <c r="A21" s="1"/>
    </row>
  </sheetData>
  <pageMargins left="0.7" right="0.7" top="0.75" bottom="0.75" header="0.3" footer="0.3"/>
  <pageSetup paperSize="9" scale="29" fitToHeight="0"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9"/>
  <sheetViews>
    <sheetView workbookViewId="0">
      <selection activeCell="J10" sqref="J10"/>
    </sheetView>
  </sheetViews>
  <sheetFormatPr defaultRowHeight="15" x14ac:dyDescent="0.25"/>
  <cols>
    <col min="1" max="1" width="25.7109375" customWidth="1"/>
    <col min="2" max="2" width="19.5703125" customWidth="1"/>
    <col min="3" max="3" width="23.7109375" customWidth="1"/>
    <col min="4" max="4" width="30.140625" customWidth="1"/>
  </cols>
  <sheetData>
    <row r="1" spans="1:5" ht="15.75" x14ac:dyDescent="0.25">
      <c r="A1" s="106" t="s">
        <v>27</v>
      </c>
      <c r="B1" s="106"/>
      <c r="C1" s="106"/>
      <c r="D1" s="106"/>
      <c r="E1" s="106"/>
    </row>
    <row r="2" spans="1:5" x14ac:dyDescent="0.25">
      <c r="B2" s="5"/>
      <c r="C2" s="5"/>
      <c r="D2" s="5"/>
    </row>
    <row r="3" spans="1:5" ht="15.75" x14ac:dyDescent="0.25">
      <c r="A3" s="7" t="s">
        <v>5</v>
      </c>
      <c r="B3" s="8" t="s">
        <v>6</v>
      </c>
      <c r="C3" s="8" t="s">
        <v>7</v>
      </c>
      <c r="D3" s="9" t="s">
        <v>8</v>
      </c>
      <c r="E3" s="6"/>
    </row>
    <row r="4" spans="1:5" x14ac:dyDescent="0.25">
      <c r="A4" s="10" t="s">
        <v>9</v>
      </c>
      <c r="B4" s="39" t="s">
        <v>23</v>
      </c>
      <c r="C4" s="39" t="s">
        <v>102</v>
      </c>
      <c r="D4" s="99">
        <v>82192</v>
      </c>
    </row>
    <row r="5" spans="1:5" x14ac:dyDescent="0.25">
      <c r="A5" s="10" t="s">
        <v>101</v>
      </c>
      <c r="B5" s="39" t="s">
        <v>103</v>
      </c>
      <c r="C5" s="39" t="s">
        <v>104</v>
      </c>
      <c r="D5" s="99">
        <v>73808</v>
      </c>
    </row>
    <row r="6" spans="1:5" x14ac:dyDescent="0.25">
      <c r="A6" s="10"/>
      <c r="B6" s="11"/>
      <c r="C6" s="11"/>
      <c r="D6" s="12"/>
    </row>
    <row r="7" spans="1:5" x14ac:dyDescent="0.25">
      <c r="A7" s="10" t="s">
        <v>26</v>
      </c>
      <c r="B7" s="11"/>
      <c r="C7" s="11"/>
      <c r="D7" s="99">
        <f>0.2*195000</f>
        <v>39000</v>
      </c>
    </row>
    <row r="8" spans="1:5" x14ac:dyDescent="0.25">
      <c r="A8" s="13" t="s">
        <v>3</v>
      </c>
      <c r="B8" s="14"/>
      <c r="C8" s="14"/>
      <c r="D8" s="15">
        <f>SUM(D4:D7)</f>
        <v>195000</v>
      </c>
    </row>
    <row r="9" spans="1:5" x14ac:dyDescent="0.25">
      <c r="B9" s="5"/>
      <c r="C9" s="5"/>
      <c r="D9" s="5"/>
    </row>
  </sheetData>
  <mergeCells count="1">
    <mergeCell ref="A1:E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D994-0CA3-46F4-A557-5189B6C35F9F}">
  <dimension ref="A1:O14"/>
  <sheetViews>
    <sheetView tabSelected="1" workbookViewId="0">
      <selection activeCell="F17" sqref="F17"/>
    </sheetView>
  </sheetViews>
  <sheetFormatPr defaultRowHeight="15" x14ac:dyDescent="0.25"/>
  <cols>
    <col min="1" max="1" width="36.85546875" bestFit="1" customWidth="1"/>
    <col min="2" max="2" width="14.7109375" bestFit="1" customWidth="1"/>
    <col min="3" max="3" width="13.140625" bestFit="1" customWidth="1"/>
    <col min="6" max="6" width="32.42578125" bestFit="1" customWidth="1"/>
    <col min="7" max="8" width="9" bestFit="1" customWidth="1"/>
    <col min="9" max="14" width="8.5703125" bestFit="1" customWidth="1"/>
    <col min="15" max="15" width="27.85546875" bestFit="1" customWidth="1"/>
  </cols>
  <sheetData>
    <row r="1" spans="1:15" ht="15.75" x14ac:dyDescent="0.25">
      <c r="A1" s="93" t="s">
        <v>84</v>
      </c>
      <c r="B1" s="93" t="s">
        <v>79</v>
      </c>
      <c r="C1" s="93" t="s">
        <v>80</v>
      </c>
      <c r="F1" s="107" t="s">
        <v>30</v>
      </c>
      <c r="G1" s="109" t="s">
        <v>39</v>
      </c>
      <c r="H1" s="109"/>
      <c r="I1" s="109" t="s">
        <v>40</v>
      </c>
      <c r="J1" s="109"/>
      <c r="K1" s="109" t="s">
        <v>41</v>
      </c>
      <c r="L1" s="109"/>
      <c r="M1" s="109" t="s">
        <v>42</v>
      </c>
      <c r="N1" s="109"/>
      <c r="O1" s="107" t="s">
        <v>37</v>
      </c>
    </row>
    <row r="2" spans="1:15" ht="15.75" x14ac:dyDescent="0.25">
      <c r="A2" s="93" t="s">
        <v>92</v>
      </c>
      <c r="B2" s="96">
        <f>'Section A'!D4</f>
        <v>211250</v>
      </c>
      <c r="C2" s="88" t="s">
        <v>44</v>
      </c>
      <c r="F2" s="108"/>
      <c r="G2" s="84" t="s">
        <v>38</v>
      </c>
      <c r="H2" s="84" t="s">
        <v>43</v>
      </c>
      <c r="I2" s="84" t="s">
        <v>38</v>
      </c>
      <c r="J2" s="84" t="s">
        <v>43</v>
      </c>
      <c r="K2" s="84" t="s">
        <v>38</v>
      </c>
      <c r="L2" s="84" t="s">
        <v>43</v>
      </c>
      <c r="M2" s="84" t="s">
        <v>38</v>
      </c>
      <c r="N2" s="84" t="s">
        <v>43</v>
      </c>
      <c r="O2" s="108"/>
    </row>
    <row r="3" spans="1:15" ht="15.75" x14ac:dyDescent="0.25">
      <c r="A3" s="93" t="s">
        <v>91</v>
      </c>
      <c r="B3" s="96">
        <f>'Section A'!E4</f>
        <v>195000</v>
      </c>
      <c r="C3" s="97">
        <v>195000</v>
      </c>
      <c r="F3" s="94" t="s">
        <v>31</v>
      </c>
      <c r="G3" s="86">
        <v>32.090000000000003</v>
      </c>
      <c r="H3" s="86">
        <v>39.51</v>
      </c>
      <c r="I3" s="87">
        <v>33.694500000000005</v>
      </c>
      <c r="J3" s="87">
        <v>41.485500000000002</v>
      </c>
      <c r="K3" s="87">
        <v>35.379225000000005</v>
      </c>
      <c r="L3" s="87">
        <v>43.559775000000002</v>
      </c>
      <c r="M3" s="87">
        <v>37.148186250000009</v>
      </c>
      <c r="N3" s="87">
        <v>45.737763750000006</v>
      </c>
      <c r="O3" s="85" t="s">
        <v>32</v>
      </c>
    </row>
    <row r="4" spans="1:15" ht="31.5" x14ac:dyDescent="0.25">
      <c r="A4" s="93" t="s">
        <v>90</v>
      </c>
      <c r="B4" s="89">
        <f>(8218.08+6864)/B2</f>
        <v>7.1394461538461532E-2</v>
      </c>
      <c r="C4" s="90">
        <v>0.1</v>
      </c>
      <c r="F4" s="94" t="s">
        <v>33</v>
      </c>
      <c r="G4" s="86" t="s">
        <v>44</v>
      </c>
      <c r="H4" s="86">
        <v>32.08</v>
      </c>
      <c r="I4" s="87" t="s">
        <v>44</v>
      </c>
      <c r="J4" s="87">
        <v>33.683999999999997</v>
      </c>
      <c r="K4" s="87" t="s">
        <v>44</v>
      </c>
      <c r="L4" s="87">
        <v>35.368200000000002</v>
      </c>
      <c r="M4" s="87" t="s">
        <v>44</v>
      </c>
      <c r="N4" s="87">
        <v>37.136610000000005</v>
      </c>
      <c r="O4" s="85" t="s">
        <v>32</v>
      </c>
    </row>
    <row r="5" spans="1:15" ht="15.75" x14ac:dyDescent="0.25">
      <c r="A5" s="93" t="s">
        <v>55</v>
      </c>
      <c r="B5" s="89">
        <f>(8218.08+6864+23732.8)/Checks!B2</f>
        <v>0.18373907692307692</v>
      </c>
      <c r="C5" s="90">
        <v>0.2</v>
      </c>
      <c r="F5" s="95" t="s">
        <v>34</v>
      </c>
      <c r="G5" s="86">
        <v>22.82</v>
      </c>
      <c r="H5" s="86">
        <v>32.08</v>
      </c>
      <c r="I5" s="87">
        <v>23.961000000000002</v>
      </c>
      <c r="J5" s="87">
        <v>33.683999999999997</v>
      </c>
      <c r="K5" s="87">
        <v>25.159050000000004</v>
      </c>
      <c r="L5" s="87">
        <v>35.368200000000002</v>
      </c>
      <c r="M5" s="87">
        <v>26.417002500000006</v>
      </c>
      <c r="N5" s="87">
        <v>37.136610000000005</v>
      </c>
      <c r="O5" s="85" t="s">
        <v>32</v>
      </c>
    </row>
    <row r="6" spans="1:15" ht="15.75" x14ac:dyDescent="0.25">
      <c r="A6" s="93" t="s">
        <v>58</v>
      </c>
      <c r="B6" s="89">
        <f>(4630.03+11117.6)/B2</f>
        <v>7.4544994082840238E-2</v>
      </c>
      <c r="C6" s="90">
        <v>0.25</v>
      </c>
      <c r="F6" s="95" t="s">
        <v>35</v>
      </c>
      <c r="G6" s="86">
        <v>12.66</v>
      </c>
      <c r="H6" s="86">
        <v>22.81</v>
      </c>
      <c r="I6" s="87">
        <v>13.293000000000001</v>
      </c>
      <c r="J6" s="87">
        <v>23.950499999999998</v>
      </c>
      <c r="K6" s="87">
        <v>13.957650000000001</v>
      </c>
      <c r="L6" s="87">
        <v>25.148025000000001</v>
      </c>
      <c r="M6" s="87">
        <v>14.655532500000001</v>
      </c>
      <c r="N6" s="87">
        <v>26.405426250000001</v>
      </c>
      <c r="O6" s="85" t="s">
        <v>36</v>
      </c>
    </row>
    <row r="7" spans="1:15" ht="47.25" x14ac:dyDescent="0.25">
      <c r="A7" s="93" t="s">
        <v>59</v>
      </c>
      <c r="B7" s="89">
        <f>7500/B2</f>
        <v>3.5502958579881658E-2</v>
      </c>
      <c r="C7" s="90">
        <v>0.3</v>
      </c>
      <c r="F7" s="94" t="s">
        <v>45</v>
      </c>
      <c r="G7" s="86" t="s">
        <v>44</v>
      </c>
      <c r="H7" s="86">
        <v>12.65</v>
      </c>
      <c r="I7" s="87" t="s">
        <v>44</v>
      </c>
      <c r="J7" s="87">
        <v>13.282500000000001</v>
      </c>
      <c r="K7" s="87" t="s">
        <v>44</v>
      </c>
      <c r="L7" s="87">
        <v>13.946625000000001</v>
      </c>
      <c r="M7" s="87" t="s">
        <v>44</v>
      </c>
      <c r="N7" s="87">
        <v>14.643956250000002</v>
      </c>
      <c r="O7" s="85" t="s">
        <v>36</v>
      </c>
    </row>
    <row r="8" spans="1:15" x14ac:dyDescent="0.25">
      <c r="A8" s="93" t="s">
        <v>63</v>
      </c>
      <c r="B8" s="91">
        <f>4400+2600</f>
        <v>7000</v>
      </c>
      <c r="C8" s="91">
        <v>7000</v>
      </c>
    </row>
    <row r="9" spans="1:15" x14ac:dyDescent="0.25">
      <c r="A9" s="93" t="s">
        <v>81</v>
      </c>
      <c r="B9" s="88">
        <v>2</v>
      </c>
      <c r="C9" s="92">
        <v>2</v>
      </c>
    </row>
    <row r="10" spans="1:15" x14ac:dyDescent="0.25">
      <c r="A10" s="93" t="s">
        <v>82</v>
      </c>
      <c r="B10" s="88">
        <v>0</v>
      </c>
      <c r="C10" s="92">
        <v>2</v>
      </c>
    </row>
    <row r="11" spans="1:15" x14ac:dyDescent="0.25">
      <c r="A11" s="93" t="s">
        <v>83</v>
      </c>
      <c r="B11" s="88">
        <v>1</v>
      </c>
      <c r="C11" s="92">
        <v>2</v>
      </c>
    </row>
    <row r="12" spans="1:15" x14ac:dyDescent="0.25">
      <c r="A12" s="93" t="s">
        <v>93</v>
      </c>
      <c r="B12" s="90">
        <f>146250/B3</f>
        <v>0.75</v>
      </c>
      <c r="C12" s="90">
        <v>0.75</v>
      </c>
    </row>
    <row r="13" spans="1:15" x14ac:dyDescent="0.25">
      <c r="A13" s="93" t="s">
        <v>94</v>
      </c>
      <c r="B13" s="88" t="s">
        <v>85</v>
      </c>
      <c r="C13" s="88" t="s">
        <v>85</v>
      </c>
    </row>
    <row r="14" spans="1:15" x14ac:dyDescent="0.25">
      <c r="A14" s="93" t="s">
        <v>86</v>
      </c>
      <c r="B14" s="88" t="s">
        <v>87</v>
      </c>
      <c r="C14" s="88" t="s">
        <v>87</v>
      </c>
    </row>
  </sheetData>
  <mergeCells count="6">
    <mergeCell ref="O1:O2"/>
    <mergeCell ref="F1:F2"/>
    <mergeCell ref="G1:H1"/>
    <mergeCell ref="I1:J1"/>
    <mergeCell ref="K1:L1"/>
    <mergeCell ref="M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Section A</vt:lpstr>
      <vt:lpstr>Section B</vt:lpstr>
      <vt:lpstr>Section C (public)</vt:lpstr>
      <vt:lpstr>Section C (private)</vt:lpstr>
      <vt:lpstr>Section D</vt:lpstr>
      <vt:lpstr>Checks</vt:lpstr>
    </vt:vector>
  </TitlesOfParts>
  <Company>Malta Council for Science and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User;Laura Sue Mallia</dc:creator>
  <cp:lastModifiedBy>Melchior Cini</cp:lastModifiedBy>
  <cp:lastPrinted>2016-03-01T08:52:08Z</cp:lastPrinted>
  <dcterms:created xsi:type="dcterms:W3CDTF">2015-09-02T07:12:09Z</dcterms:created>
  <dcterms:modified xsi:type="dcterms:W3CDTF">2020-03-06T09:42:51Z</dcterms:modified>
</cp:coreProperties>
</file>